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8550" activeTab="0"/>
  </bookViews>
  <sheets>
    <sheet name="市町村・保健所・県計" sheetId="1" r:id="rId1"/>
    <sheet name="年齢階級別" sheetId="2" r:id="rId2"/>
  </sheets>
  <externalReferences>
    <externalReference r:id="rId5"/>
    <externalReference r:id="rId6"/>
  </externalReferences>
  <definedNames>
    <definedName name="_15.8.1男胃">#REF!</definedName>
    <definedName name="_15.8.2女胃">#REF!</definedName>
    <definedName name="_15.8.3男肺">'[1]肺（男）'!#REF!</definedName>
    <definedName name="_15.8.4女肺">#REF!</definedName>
    <definedName name="_15.8.5女子宮" localSheetId="0">'市町村・保健所・県計'!#REF!</definedName>
    <definedName name="_15.8.5女子宮" localSheetId="1">'年齢階級別'!#REF!</definedName>
    <definedName name="_15.8.5女子宮">'[2]保健所'!#REF!</definedName>
    <definedName name="_15.8.6女乳">'[1]乳'!#REF!</definedName>
    <definedName name="_xlnm.Print_Area" localSheetId="0">'市町村・保健所・県計'!$A$1:$Z$86</definedName>
    <definedName name="_xlnm.Print_Area" localSheetId="1">'年齢階級別'!$A$1:$AA$36</definedName>
    <definedName name="_xlnm.Print_Titles" localSheetId="0">'市町村・保健所・県計'!$1:$4</definedName>
  </definedNames>
  <calcPr fullCalcOnLoad="1"/>
</workbook>
</file>

<file path=xl/sharedStrings.xml><?xml version="1.0" encoding="utf-8"?>
<sst xmlns="http://schemas.openxmlformats.org/spreadsheetml/2006/main" count="269" uniqueCount="119">
  <si>
    <t>初回受診者</t>
  </si>
  <si>
    <t>頚　　　　　部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</si>
  <si>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</si>
  <si>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</si>
  <si>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</si>
  <si>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</si>
  <si>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</si>
  <si>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</si>
  <si>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</si>
  <si>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</si>
  <si>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</si>
  <si>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</si>
  <si>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</si>
  <si>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計</t>
  </si>
  <si>
    <t>検診方式</t>
  </si>
  <si>
    <t>個別</t>
  </si>
  <si>
    <t>（再掲）</t>
  </si>
  <si>
    <t>集団</t>
  </si>
  <si>
    <t>体　　　　　部</t>
  </si>
  <si>
    <t>玉野市</t>
  </si>
  <si>
    <t>備前市</t>
  </si>
  <si>
    <t>和気町</t>
  </si>
  <si>
    <t>総社市</t>
  </si>
  <si>
    <t>早島町</t>
  </si>
  <si>
    <t>笠岡市</t>
  </si>
  <si>
    <t>浅口市</t>
  </si>
  <si>
    <t>里庄町</t>
  </si>
  <si>
    <t>矢掛町</t>
  </si>
  <si>
    <t>新見市</t>
  </si>
  <si>
    <t>新庄村</t>
  </si>
  <si>
    <t>津山市</t>
  </si>
  <si>
    <t>鏡野町</t>
  </si>
  <si>
    <t>久米南町</t>
  </si>
  <si>
    <t>美咲町</t>
  </si>
  <si>
    <t>勝央町</t>
  </si>
  <si>
    <t>奈義町</t>
  </si>
  <si>
    <t>西粟倉村</t>
  </si>
  <si>
    <t>25～29歳</t>
  </si>
  <si>
    <t>25～29歳</t>
  </si>
  <si>
    <t>岡山市保健所</t>
  </si>
  <si>
    <t>倉敷市保健所</t>
  </si>
  <si>
    <t>岡山保健所</t>
  </si>
  <si>
    <t>東備保健所</t>
  </si>
  <si>
    <t>倉敷保健所</t>
  </si>
  <si>
    <t>井笠保健所</t>
  </si>
  <si>
    <t>高梁保健所</t>
  </si>
  <si>
    <t>新見保健所</t>
  </si>
  <si>
    <t>真庭保健所</t>
  </si>
  <si>
    <t>津山保健所</t>
  </si>
  <si>
    <t>勝英保健所</t>
  </si>
  <si>
    <t>岡山県</t>
  </si>
  <si>
    <t>頚部</t>
  </si>
  <si>
    <t>体部</t>
  </si>
  <si>
    <t>受診者の状況</t>
  </si>
  <si>
    <t>精密検診</t>
  </si>
  <si>
    <t>精密検診結果別人員</t>
  </si>
  <si>
    <t>対象年齢
人口
（20歳以上）</t>
  </si>
  <si>
    <t>対象者数
（人）</t>
  </si>
  <si>
    <t>対象者率
（％）</t>
  </si>
  <si>
    <t>受診者数
(人）</t>
  </si>
  <si>
    <t>受診率
（％）</t>
  </si>
  <si>
    <t>要精検者
数（人）</t>
  </si>
  <si>
    <t>要精検率
（％）</t>
  </si>
  <si>
    <t>受診者数
（人）</t>
  </si>
  <si>
    <t>異常
認めず
（人）</t>
  </si>
  <si>
    <t>がんで
あった者
（人）</t>
  </si>
  <si>
    <t>がんの疑
いのある
者（人）</t>
  </si>
  <si>
    <t>がん以外の
疾患であっ
た者（人）</t>
  </si>
  <si>
    <t>未把握
（人）</t>
  </si>
  <si>
    <t>未受診者
(人）</t>
  </si>
  <si>
    <t>がん
発見率
（％）</t>
  </si>
  <si>
    <t>陽性反応
的中度
（％）</t>
  </si>
  <si>
    <t>初回
受診者
（人）</t>
  </si>
  <si>
    <t>同左の
割合
（％）</t>
  </si>
  <si>
    <t>A</t>
  </si>
  <si>
    <t>B</t>
  </si>
  <si>
    <t>B/A</t>
  </si>
  <si>
    <t>C</t>
  </si>
  <si>
    <t>C/B</t>
  </si>
  <si>
    <t>D</t>
  </si>
  <si>
    <t>D/C</t>
  </si>
  <si>
    <t>E</t>
  </si>
  <si>
    <t>E/D</t>
  </si>
  <si>
    <t>F</t>
  </si>
  <si>
    <t>F/C</t>
  </si>
  <si>
    <t>F/E</t>
  </si>
  <si>
    <t>20～24歳</t>
  </si>
  <si>
    <t>20～24歳</t>
  </si>
  <si>
    <t>－</t>
  </si>
  <si>
    <t>－</t>
  </si>
  <si>
    <t>岡山市
（本庁）</t>
  </si>
  <si>
    <t>岡山市
（御津）</t>
  </si>
  <si>
    <t>岡山市
（建部）</t>
  </si>
  <si>
    <t>倉敷市</t>
  </si>
  <si>
    <t>瀬戸内市</t>
  </si>
  <si>
    <t>吉備中央町</t>
  </si>
  <si>
    <t>赤磐市</t>
  </si>
  <si>
    <t>井原市</t>
  </si>
  <si>
    <t>高梁市</t>
  </si>
  <si>
    <t>真庭市</t>
  </si>
  <si>
    <t>美作市</t>
  </si>
  <si>
    <t>平成２０年度　子宮がん検診</t>
  </si>
  <si>
    <t>平成２０年度　子宮がん検診（年齢階級別）</t>
  </si>
  <si>
    <t>早期がん発見患者者数（人）</t>
  </si>
  <si>
    <t>G</t>
  </si>
  <si>
    <t>早期がん発見率（％）</t>
  </si>
  <si>
    <t>G/C</t>
  </si>
  <si>
    <t>H</t>
  </si>
  <si>
    <t>H/C</t>
  </si>
  <si>
    <t>がん発見</t>
  </si>
  <si>
    <t>H</t>
  </si>
  <si>
    <t>H/C</t>
  </si>
  <si>
    <t>陽性反応
的中度
（％）</t>
  </si>
  <si>
    <t>２年連続
受診者数
（本年度中）</t>
  </si>
  <si>
    <t>I</t>
  </si>
  <si>
    <t>J</t>
  </si>
  <si>
    <t>前年度
受診者
（人）</t>
  </si>
  <si>
    <t>（C+J-I）/B</t>
  </si>
  <si>
    <t>国様式（１回／２年）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</si>
</sst>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000"/>
    <numFmt numFmtId="178" formatCode="yy/mm/dd"/>
    <numFmt numFmtId="179" formatCode="#,##0_);[Red]\(#,##0\)"/>
    <numFmt numFmtId="180" formatCode="#,##0_ "/>
    <numFmt numFmtId="181" formatCode="#,##0.0_);[Red]\(#,##0.0\)"/>
    <numFmt numFmtId="182" formatCode="0.0_);[Red]\(0.0\)"/>
    <numFmt numFmtId="183" formatCode="0.000_);[Red]\(0.000\)"/>
    <numFmt numFmtId="184" formatCode="0_);[Red]\(0\)"/>
    <numFmt numFmtId="185" formatCode="0.00_ "/>
    <numFmt numFmtId="186" formatCode="0.0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7"/>
      <name val="ＭＳ Ｐゴシック"/>
      <family val="3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thin"/>
      <bottom style="dotted"/>
    </border>
    <border>
      <left style="double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double"/>
      <right style="thin"/>
      <top style="thin"/>
      <bottom>
        <color indexed="63"/>
      </bottom>
    </border>
    <border>
      <left style="double"/>
      <right style="thin"/>
      <top style="dotted"/>
      <bottom style="thin"/>
    </border>
    <border>
      <left style="double"/>
      <right style="thin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dotted"/>
    </border>
    <border>
      <left style="double"/>
      <right style="thin"/>
      <top style="medium"/>
      <bottom style="dotted"/>
    </border>
    <border>
      <left style="double"/>
      <right style="thin"/>
      <top style="medium"/>
      <bottom>
        <color indexed="63"/>
      </bottom>
    </border>
    <border>
      <left style="thin"/>
      <right style="thin"/>
      <top style="dotted"/>
      <bottom style="medium"/>
    </border>
    <border>
      <left style="double"/>
      <right style="thin"/>
      <top style="dotted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double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tted"/>
      <bottom style="medium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thin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medium"/>
      <diagonal style="thin"/>
    </border>
    <border diagonalDown="1">
      <left style="thin"/>
      <right style="thin"/>
      <top>
        <color indexed="63"/>
      </top>
      <bottom style="medium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179" fontId="7" fillId="0" borderId="1" xfId="0" applyNumberFormat="1" applyFont="1" applyFill="1" applyBorder="1" applyAlignment="1">
      <alignment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179" fontId="7" fillId="0" borderId="2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Alignment="1">
      <alignment horizontal="center" vertical="center"/>
    </xf>
    <xf numFmtId="179" fontId="7" fillId="0" borderId="3" xfId="0" applyNumberFormat="1" applyFont="1" applyFill="1" applyBorder="1" applyAlignment="1">
      <alignment horizontal="center" vertical="center" wrapText="1"/>
    </xf>
    <xf numFmtId="179" fontId="7" fillId="0" borderId="4" xfId="0" applyNumberFormat="1" applyFont="1" applyFill="1" applyBorder="1" applyAlignment="1">
      <alignment horizontal="center" vertical="center" wrapText="1"/>
    </xf>
    <xf numFmtId="179" fontId="7" fillId="0" borderId="5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Alignment="1">
      <alignment horizontal="center" vertical="center" wrapText="1"/>
    </xf>
    <xf numFmtId="179" fontId="7" fillId="0" borderId="6" xfId="0" applyNumberFormat="1" applyFont="1" applyFill="1" applyBorder="1" applyAlignment="1">
      <alignment horizontal="center" vertical="center" wrapText="1"/>
    </xf>
    <xf numFmtId="179" fontId="7" fillId="0" borderId="6" xfId="0" applyNumberFormat="1" applyFont="1" applyFill="1" applyBorder="1" applyAlignment="1">
      <alignment horizontal="center" vertical="center"/>
    </xf>
    <xf numFmtId="179" fontId="7" fillId="0" borderId="7" xfId="0" applyNumberFormat="1" applyFont="1" applyFill="1" applyBorder="1" applyAlignment="1">
      <alignment horizontal="center" vertical="center" wrapText="1"/>
    </xf>
    <xf numFmtId="179" fontId="7" fillId="0" borderId="8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80" fontId="7" fillId="0" borderId="9" xfId="0" applyNumberFormat="1" applyFont="1" applyFill="1" applyBorder="1" applyAlignment="1" applyProtection="1">
      <alignment vertical="center"/>
      <protection/>
    </xf>
    <xf numFmtId="180" fontId="7" fillId="0" borderId="9" xfId="0" applyNumberFormat="1" applyFont="1" applyFill="1" applyBorder="1" applyAlignment="1" applyProtection="1">
      <alignment vertical="center"/>
      <protection locked="0"/>
    </xf>
    <xf numFmtId="180" fontId="7" fillId="0" borderId="10" xfId="0" applyNumberFormat="1" applyFont="1" applyFill="1" applyBorder="1" applyAlignment="1" applyProtection="1">
      <alignment vertical="center"/>
      <protection locked="0"/>
    </xf>
    <xf numFmtId="180" fontId="7" fillId="0" borderId="11" xfId="0" applyNumberFormat="1" applyFont="1" applyFill="1" applyBorder="1" applyAlignment="1" applyProtection="1">
      <alignment vertical="center"/>
      <protection/>
    </xf>
    <xf numFmtId="180" fontId="7" fillId="0" borderId="12" xfId="0" applyNumberFormat="1" applyFont="1" applyFill="1" applyBorder="1" applyAlignment="1" applyProtection="1">
      <alignment vertical="center"/>
      <protection/>
    </xf>
    <xf numFmtId="180" fontId="7" fillId="0" borderId="13" xfId="0" applyNumberFormat="1" applyFont="1" applyFill="1" applyBorder="1" applyAlignment="1" applyProtection="1">
      <alignment vertical="center"/>
      <protection/>
    </xf>
    <xf numFmtId="180" fontId="7" fillId="0" borderId="3" xfId="0" applyNumberFormat="1" applyFont="1" applyFill="1" applyBorder="1" applyAlignment="1" applyProtection="1">
      <alignment vertical="center"/>
      <protection/>
    </xf>
    <xf numFmtId="180" fontId="7" fillId="0" borderId="14" xfId="0" applyNumberFormat="1" applyFont="1" applyFill="1" applyBorder="1" applyAlignment="1" applyProtection="1">
      <alignment vertical="center"/>
      <protection/>
    </xf>
    <xf numFmtId="179" fontId="9" fillId="0" borderId="0" xfId="0" applyNumberFormat="1" applyFont="1" applyFill="1" applyAlignment="1">
      <alignment vertical="center"/>
    </xf>
    <xf numFmtId="0" fontId="8" fillId="0" borderId="0" xfId="0" applyFont="1" applyFill="1" applyAlignment="1" quotePrefix="1">
      <alignment horizontal="center" vertical="center" readingOrder="1"/>
    </xf>
    <xf numFmtId="0" fontId="7" fillId="0" borderId="9" xfId="0" applyFont="1" applyFill="1" applyBorder="1" applyAlignment="1">
      <alignment horizontal="center" vertical="center" wrapText="1" readingOrder="1"/>
    </xf>
    <xf numFmtId="0" fontId="7" fillId="0" borderId="11" xfId="0" applyFont="1" applyFill="1" applyBorder="1" applyAlignment="1">
      <alignment horizontal="center" vertical="center" wrapText="1" readingOrder="1"/>
    </xf>
    <xf numFmtId="0" fontId="7" fillId="0" borderId="13" xfId="0" applyFont="1" applyFill="1" applyBorder="1" applyAlignment="1">
      <alignment horizontal="center" vertical="center" wrapText="1" readingOrder="1"/>
    </xf>
    <xf numFmtId="0" fontId="7" fillId="0" borderId="3" xfId="0" applyFont="1" applyFill="1" applyBorder="1" applyAlignment="1">
      <alignment horizontal="center" vertical="center" wrapText="1" readingOrder="1"/>
    </xf>
    <xf numFmtId="0" fontId="7" fillId="0" borderId="14" xfId="0" applyFont="1" applyFill="1" applyBorder="1" applyAlignment="1">
      <alignment horizontal="center" vertical="center" wrapText="1" readingOrder="1"/>
    </xf>
    <xf numFmtId="0" fontId="7" fillId="0" borderId="12" xfId="0" applyFont="1" applyFill="1" applyBorder="1" applyAlignment="1">
      <alignment horizontal="center" vertical="center" wrapText="1" readingOrder="1"/>
    </xf>
    <xf numFmtId="17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 readingOrder="1"/>
    </xf>
    <xf numFmtId="180" fontId="7" fillId="0" borderId="15" xfId="0" applyNumberFormat="1" applyFont="1" applyFill="1" applyBorder="1" applyAlignment="1" applyProtection="1">
      <alignment vertical="center"/>
      <protection/>
    </xf>
    <xf numFmtId="180" fontId="7" fillId="0" borderId="16" xfId="0" applyNumberFormat="1" applyFont="1" applyFill="1" applyBorder="1" applyAlignment="1" applyProtection="1">
      <alignment vertical="center"/>
      <protection/>
    </xf>
    <xf numFmtId="180" fontId="7" fillId="0" borderId="17" xfId="0" applyNumberFormat="1" applyFont="1" applyFill="1" applyBorder="1" applyAlignment="1" applyProtection="1">
      <alignment vertical="center"/>
      <protection/>
    </xf>
    <xf numFmtId="179" fontId="7" fillId="0" borderId="11" xfId="0" applyNumberFormat="1" applyFont="1" applyFill="1" applyBorder="1" applyAlignment="1">
      <alignment horizontal="center" vertical="center" wrapText="1"/>
    </xf>
    <xf numFmtId="180" fontId="7" fillId="0" borderId="13" xfId="0" applyNumberFormat="1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>
      <alignment horizontal="center" vertical="center" wrapText="1" readingOrder="1"/>
    </xf>
    <xf numFmtId="180" fontId="7" fillId="2" borderId="9" xfId="0" applyNumberFormat="1" applyFont="1" applyFill="1" applyBorder="1" applyAlignment="1" applyProtection="1">
      <alignment vertical="center"/>
      <protection/>
    </xf>
    <xf numFmtId="180" fontId="7" fillId="2" borderId="9" xfId="0" applyNumberFormat="1" applyFont="1" applyFill="1" applyBorder="1" applyAlignment="1" applyProtection="1">
      <alignment vertical="center"/>
      <protection locked="0"/>
    </xf>
    <xf numFmtId="180" fontId="7" fillId="2" borderId="18" xfId="0" applyNumberFormat="1" applyFont="1" applyFill="1" applyBorder="1" applyAlignment="1" applyProtection="1">
      <alignment vertical="center"/>
      <protection locked="0"/>
    </xf>
    <xf numFmtId="0" fontId="7" fillId="2" borderId="6" xfId="0" applyFont="1" applyFill="1" applyBorder="1" applyAlignment="1">
      <alignment horizontal="center" vertical="center" wrapText="1" readingOrder="1"/>
    </xf>
    <xf numFmtId="180" fontId="7" fillId="2" borderId="6" xfId="0" applyNumberFormat="1" applyFont="1" applyFill="1" applyBorder="1" applyAlignment="1" applyProtection="1">
      <alignment vertical="center"/>
      <protection/>
    </xf>
    <xf numFmtId="180" fontId="7" fillId="2" borderId="6" xfId="0" applyNumberFormat="1" applyFont="1" applyFill="1" applyBorder="1" applyAlignment="1" applyProtection="1">
      <alignment vertical="center"/>
      <protection locked="0"/>
    </xf>
    <xf numFmtId="180" fontId="7" fillId="2" borderId="19" xfId="0" applyNumberFormat="1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>
      <alignment horizontal="center" vertical="center" wrapText="1" readingOrder="1"/>
    </xf>
    <xf numFmtId="180" fontId="7" fillId="2" borderId="20" xfId="0" applyNumberFormat="1" applyFont="1" applyFill="1" applyBorder="1" applyAlignment="1" applyProtection="1">
      <alignment vertical="center"/>
      <protection/>
    </xf>
    <xf numFmtId="180" fontId="7" fillId="2" borderId="21" xfId="0" applyNumberFormat="1" applyFont="1" applyFill="1" applyBorder="1" applyAlignment="1" applyProtection="1">
      <alignment vertical="center"/>
      <protection/>
    </xf>
    <xf numFmtId="180" fontId="7" fillId="2" borderId="7" xfId="0" applyNumberFormat="1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>
      <alignment horizontal="center" vertical="center" wrapText="1" readingOrder="1"/>
    </xf>
    <xf numFmtId="180" fontId="7" fillId="2" borderId="1" xfId="0" applyNumberFormat="1" applyFont="1" applyFill="1" applyBorder="1" applyAlignment="1" applyProtection="1">
      <alignment vertical="center"/>
      <protection/>
    </xf>
    <xf numFmtId="180" fontId="7" fillId="2" borderId="22" xfId="0" applyNumberFormat="1" applyFont="1" applyFill="1" applyBorder="1" applyAlignment="1" applyProtection="1">
      <alignment vertical="center"/>
      <protection/>
    </xf>
    <xf numFmtId="0" fontId="7" fillId="2" borderId="23" xfId="0" applyFont="1" applyFill="1" applyBorder="1" applyAlignment="1">
      <alignment horizontal="center" vertical="center" wrapText="1" readingOrder="1"/>
    </xf>
    <xf numFmtId="180" fontId="7" fillId="2" borderId="23" xfId="0" applyNumberFormat="1" applyFont="1" applyFill="1" applyBorder="1" applyAlignment="1" applyProtection="1">
      <alignment vertical="center"/>
      <protection/>
    </xf>
    <xf numFmtId="180" fontId="7" fillId="2" borderId="24" xfId="0" applyNumberFormat="1" applyFont="1" applyFill="1" applyBorder="1" applyAlignment="1" applyProtection="1">
      <alignment vertical="center"/>
      <protection/>
    </xf>
    <xf numFmtId="182" fontId="7" fillId="0" borderId="0" xfId="0" applyNumberFormat="1" applyFont="1" applyFill="1" applyAlignment="1">
      <alignment vertical="center"/>
    </xf>
    <xf numFmtId="182" fontId="7" fillId="0" borderId="25" xfId="0" applyNumberFormat="1" applyFont="1" applyFill="1" applyBorder="1" applyAlignment="1">
      <alignment horizontal="center" vertical="center"/>
    </xf>
    <xf numFmtId="182" fontId="7" fillId="0" borderId="26" xfId="0" applyNumberFormat="1" applyFont="1" applyFill="1" applyBorder="1" applyAlignment="1">
      <alignment horizontal="center" vertical="center" wrapText="1"/>
    </xf>
    <xf numFmtId="182" fontId="7" fillId="0" borderId="27" xfId="0" applyNumberFormat="1" applyFont="1" applyFill="1" applyBorder="1" applyAlignment="1">
      <alignment horizontal="center" vertical="center"/>
    </xf>
    <xf numFmtId="182" fontId="7" fillId="2" borderId="28" xfId="0" applyNumberFormat="1" applyFont="1" applyFill="1" applyBorder="1" applyAlignment="1" applyProtection="1">
      <alignment vertical="center"/>
      <protection/>
    </xf>
    <xf numFmtId="182" fontId="7" fillId="2" borderId="27" xfId="0" applyNumberFormat="1" applyFont="1" applyFill="1" applyBorder="1" applyAlignment="1" applyProtection="1">
      <alignment vertical="center"/>
      <protection/>
    </xf>
    <xf numFmtId="182" fontId="7" fillId="0" borderId="29" xfId="0" applyNumberFormat="1" applyFont="1" applyFill="1" applyBorder="1" applyAlignment="1" applyProtection="1">
      <alignment vertical="center"/>
      <protection/>
    </xf>
    <xf numFmtId="182" fontId="7" fillId="0" borderId="30" xfId="0" applyNumberFormat="1" applyFont="1" applyFill="1" applyBorder="1" applyAlignment="1" applyProtection="1">
      <alignment vertical="center"/>
      <protection/>
    </xf>
    <xf numFmtId="182" fontId="7" fillId="0" borderId="31" xfId="0" applyNumberFormat="1" applyFont="1" applyFill="1" applyBorder="1" applyAlignment="1" applyProtection="1">
      <alignment vertical="center"/>
      <protection/>
    </xf>
    <xf numFmtId="182" fontId="7" fillId="2" borderId="32" xfId="0" applyNumberFormat="1" applyFont="1" applyFill="1" applyBorder="1" applyAlignment="1" applyProtection="1">
      <alignment vertical="center"/>
      <protection/>
    </xf>
    <xf numFmtId="182" fontId="7" fillId="0" borderId="29" xfId="0" applyNumberFormat="1" applyFont="1" applyFill="1" applyBorder="1" applyAlignment="1">
      <alignment horizontal="center" vertical="center" wrapText="1"/>
    </xf>
    <xf numFmtId="182" fontId="7" fillId="0" borderId="27" xfId="0" applyNumberFormat="1" applyFont="1" applyFill="1" applyBorder="1" applyAlignment="1">
      <alignment horizontal="center" vertical="center" wrapText="1"/>
    </xf>
    <xf numFmtId="182" fontId="7" fillId="2" borderId="33" xfId="0" applyNumberFormat="1" applyFont="1" applyFill="1" applyBorder="1" applyAlignment="1" applyProtection="1">
      <alignment vertical="center"/>
      <protection locked="0"/>
    </xf>
    <xf numFmtId="182" fontId="7" fillId="0" borderId="3" xfId="0" applyNumberFormat="1" applyFont="1" applyFill="1" applyBorder="1" applyAlignment="1">
      <alignment horizontal="center" vertical="center" wrapText="1"/>
    </xf>
    <xf numFmtId="182" fontId="7" fillId="0" borderId="6" xfId="0" applyNumberFormat="1" applyFont="1" applyFill="1" applyBorder="1" applyAlignment="1">
      <alignment horizontal="center" vertical="center" wrapText="1"/>
    </xf>
    <xf numFmtId="182" fontId="7" fillId="2" borderId="18" xfId="0" applyNumberFormat="1" applyFont="1" applyFill="1" applyBorder="1" applyAlignment="1" applyProtection="1">
      <alignment vertical="center"/>
      <protection locked="0"/>
    </xf>
    <xf numFmtId="182" fontId="7" fillId="2" borderId="19" xfId="0" applyNumberFormat="1" applyFont="1" applyFill="1" applyBorder="1" applyAlignment="1" applyProtection="1">
      <alignment vertical="center"/>
      <protection locked="0"/>
    </xf>
    <xf numFmtId="182" fontId="7" fillId="0" borderId="11" xfId="0" applyNumberFormat="1" applyFont="1" applyFill="1" applyBorder="1" applyAlignment="1" applyProtection="1">
      <alignment vertical="center"/>
      <protection/>
    </xf>
    <xf numFmtId="182" fontId="7" fillId="0" borderId="12" xfId="0" applyNumberFormat="1" applyFont="1" applyFill="1" applyBorder="1" applyAlignment="1" applyProtection="1">
      <alignment vertical="center"/>
      <protection/>
    </xf>
    <xf numFmtId="182" fontId="7" fillId="0" borderId="13" xfId="0" applyNumberFormat="1" applyFont="1" applyFill="1" applyBorder="1" applyAlignment="1" applyProtection="1">
      <alignment vertical="center"/>
      <protection/>
    </xf>
    <xf numFmtId="182" fontId="7" fillId="2" borderId="20" xfId="0" applyNumberFormat="1" applyFont="1" applyFill="1" applyBorder="1" applyAlignment="1" applyProtection="1">
      <alignment vertical="center"/>
      <protection/>
    </xf>
    <xf numFmtId="182" fontId="7" fillId="2" borderId="6" xfId="0" applyNumberFormat="1" applyFont="1" applyFill="1" applyBorder="1" applyAlignment="1" applyProtection="1">
      <alignment vertical="center"/>
      <protection/>
    </xf>
    <xf numFmtId="183" fontId="7" fillId="0" borderId="0" xfId="0" applyNumberFormat="1" applyFont="1" applyFill="1" applyAlignment="1">
      <alignment vertical="center"/>
    </xf>
    <xf numFmtId="183" fontId="7" fillId="0" borderId="34" xfId="0" applyNumberFormat="1" applyFont="1" applyFill="1" applyBorder="1" applyAlignment="1">
      <alignment horizontal="center" vertical="center" wrapText="1"/>
    </xf>
    <xf numFmtId="183" fontId="7" fillId="0" borderId="19" xfId="0" applyNumberFormat="1" applyFont="1" applyFill="1" applyBorder="1" applyAlignment="1">
      <alignment horizontal="center" vertical="center" wrapText="1"/>
    </xf>
    <xf numFmtId="183" fontId="7" fillId="2" borderId="18" xfId="0" applyNumberFormat="1" applyFont="1" applyFill="1" applyBorder="1" applyAlignment="1" applyProtection="1">
      <alignment vertical="center"/>
      <protection/>
    </xf>
    <xf numFmtId="183" fontId="7" fillId="2" borderId="19" xfId="0" applyNumberFormat="1" applyFont="1" applyFill="1" applyBorder="1" applyAlignment="1" applyProtection="1">
      <alignment vertical="center"/>
      <protection/>
    </xf>
    <xf numFmtId="183" fontId="7" fillId="0" borderId="35" xfId="0" applyNumberFormat="1" applyFont="1" applyFill="1" applyBorder="1" applyAlignment="1" applyProtection="1">
      <alignment vertical="center"/>
      <protection/>
    </xf>
    <xf numFmtId="183" fontId="7" fillId="0" borderId="36" xfId="0" applyNumberFormat="1" applyFont="1" applyFill="1" applyBorder="1" applyAlignment="1" applyProtection="1">
      <alignment vertical="center"/>
      <protection/>
    </xf>
    <xf numFmtId="183" fontId="7" fillId="2" borderId="37" xfId="0" applyNumberFormat="1" applyFont="1" applyFill="1" applyBorder="1" applyAlignment="1" applyProtection="1">
      <alignment vertical="center"/>
      <protection/>
    </xf>
    <xf numFmtId="182" fontId="7" fillId="0" borderId="1" xfId="0" applyNumberFormat="1" applyFont="1" applyFill="1" applyBorder="1" applyAlignment="1">
      <alignment horizontal="center" vertical="center" wrapText="1"/>
    </xf>
    <xf numFmtId="182" fontId="7" fillId="2" borderId="9" xfId="0" applyNumberFormat="1" applyFont="1" applyFill="1" applyBorder="1" applyAlignment="1" applyProtection="1">
      <alignment vertical="center"/>
      <protection/>
    </xf>
    <xf numFmtId="179" fontId="7" fillId="0" borderId="38" xfId="0" applyNumberFormat="1" applyFont="1" applyFill="1" applyBorder="1" applyAlignment="1">
      <alignment horizontal="centerContinuous" vertical="center"/>
    </xf>
    <xf numFmtId="179" fontId="7" fillId="0" borderId="39" xfId="0" applyNumberFormat="1" applyFont="1" applyFill="1" applyBorder="1" applyAlignment="1">
      <alignment horizontal="centerContinuous" vertical="center"/>
    </xf>
    <xf numFmtId="179" fontId="7" fillId="0" borderId="40" xfId="0" applyNumberFormat="1" applyFont="1" applyFill="1" applyBorder="1" applyAlignment="1">
      <alignment horizontal="centerContinuous" vertical="center"/>
    </xf>
    <xf numFmtId="179" fontId="7" fillId="0" borderId="0" xfId="0" applyNumberFormat="1" applyFont="1" applyFill="1" applyBorder="1" applyAlignment="1">
      <alignment horizontal="centerContinuous" vertical="center"/>
    </xf>
    <xf numFmtId="182" fontId="7" fillId="0" borderId="11" xfId="0" applyNumberFormat="1" applyFont="1" applyFill="1" applyBorder="1" applyAlignment="1">
      <alignment horizontal="center" vertical="center" wrapText="1"/>
    </xf>
    <xf numFmtId="179" fontId="7" fillId="0" borderId="41" xfId="0" applyNumberFormat="1" applyFont="1" applyFill="1" applyBorder="1" applyAlignment="1">
      <alignment vertical="center"/>
    </xf>
    <xf numFmtId="179" fontId="7" fillId="0" borderId="42" xfId="0" applyNumberFormat="1" applyFont="1" applyFill="1" applyBorder="1" applyAlignment="1">
      <alignment vertical="center"/>
    </xf>
    <xf numFmtId="180" fontId="7" fillId="0" borderId="43" xfId="0" applyNumberFormat="1" applyFont="1" applyFill="1" applyBorder="1" applyAlignment="1" applyProtection="1">
      <alignment vertical="center"/>
      <protection locked="0"/>
    </xf>
    <xf numFmtId="0" fontId="7" fillId="0" borderId="44" xfId="0" applyFont="1" applyFill="1" applyBorder="1" applyAlignment="1">
      <alignment horizontal="centerContinuous" vertical="center" wrapText="1"/>
    </xf>
    <xf numFmtId="180" fontId="7" fillId="0" borderId="43" xfId="0" applyNumberFormat="1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27" xfId="0" applyFont="1" applyFill="1" applyBorder="1" applyAlignment="1">
      <alignment horizontal="distributed" vertical="center" wrapText="1"/>
    </xf>
    <xf numFmtId="180" fontId="7" fillId="0" borderId="1" xfId="0" applyNumberFormat="1" applyFont="1" applyFill="1" applyBorder="1" applyAlignment="1" applyProtection="1">
      <alignment vertical="center"/>
      <protection locked="0"/>
    </xf>
    <xf numFmtId="180" fontId="7" fillId="0" borderId="1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horizontal="centerContinuous" vertical="center" wrapText="1"/>
    </xf>
    <xf numFmtId="180" fontId="7" fillId="0" borderId="22" xfId="0" applyNumberFormat="1" applyFont="1" applyFill="1" applyBorder="1" applyAlignment="1" applyProtection="1">
      <alignment vertical="center"/>
      <protection locked="0"/>
    </xf>
    <xf numFmtId="0" fontId="7" fillId="0" borderId="45" xfId="0" applyFont="1" applyFill="1" applyBorder="1" applyAlignment="1">
      <alignment horizontal="centerContinuous" vertical="center" wrapText="1"/>
    </xf>
    <xf numFmtId="180" fontId="7" fillId="0" borderId="46" xfId="0" applyNumberFormat="1" applyFont="1" applyFill="1" applyBorder="1" applyAlignment="1">
      <alignment vertical="center"/>
    </xf>
    <xf numFmtId="180" fontId="7" fillId="0" borderId="47" xfId="0" applyNumberFormat="1" applyFont="1" applyFill="1" applyBorder="1" applyAlignment="1" applyProtection="1">
      <alignment vertical="center"/>
      <protection locked="0"/>
    </xf>
    <xf numFmtId="180" fontId="7" fillId="0" borderId="46" xfId="0" applyNumberFormat="1" applyFont="1" applyFill="1" applyBorder="1" applyAlignment="1" applyProtection="1">
      <alignment vertical="center"/>
      <protection locked="0"/>
    </xf>
    <xf numFmtId="0" fontId="7" fillId="0" borderId="48" xfId="0" applyFont="1" applyFill="1" applyBorder="1" applyAlignment="1">
      <alignment horizontal="centerContinuous" vertical="center" wrapText="1"/>
    </xf>
    <xf numFmtId="0" fontId="7" fillId="0" borderId="28" xfId="0" applyFont="1" applyFill="1" applyBorder="1" applyAlignment="1">
      <alignment horizontal="distributed" vertical="center" wrapText="1"/>
    </xf>
    <xf numFmtId="180" fontId="7" fillId="0" borderId="23" xfId="0" applyNumberFormat="1" applyFont="1" applyFill="1" applyBorder="1" applyAlignment="1">
      <alignment horizontal="center" vertical="center"/>
    </xf>
    <xf numFmtId="182" fontId="7" fillId="0" borderId="45" xfId="0" applyNumberFormat="1" applyFont="1" applyFill="1" applyBorder="1" applyAlignment="1">
      <alignment vertical="center"/>
    </xf>
    <xf numFmtId="182" fontId="7" fillId="0" borderId="49" xfId="0" applyNumberFormat="1" applyFont="1" applyFill="1" applyBorder="1" applyAlignment="1" applyProtection="1">
      <alignment vertical="center"/>
      <protection/>
    </xf>
    <xf numFmtId="182" fontId="7" fillId="0" borderId="25" xfId="0" applyNumberFormat="1" applyFont="1" applyFill="1" applyBorder="1" applyAlignment="1">
      <alignment vertical="center"/>
    </xf>
    <xf numFmtId="182" fontId="7" fillId="0" borderId="46" xfId="0" applyNumberFormat="1" applyFont="1" applyFill="1" applyBorder="1" applyAlignment="1" applyProtection="1">
      <alignment vertical="center"/>
      <protection locked="0"/>
    </xf>
    <xf numFmtId="182" fontId="7" fillId="0" borderId="43" xfId="0" applyNumberFormat="1" applyFont="1" applyFill="1" applyBorder="1" applyAlignment="1" applyProtection="1">
      <alignment vertical="center"/>
      <protection locked="0"/>
    </xf>
    <xf numFmtId="182" fontId="7" fillId="0" borderId="1" xfId="0" applyNumberFormat="1" applyFont="1" applyFill="1" applyBorder="1" applyAlignment="1" applyProtection="1">
      <alignment vertical="center"/>
      <protection locked="0"/>
    </xf>
    <xf numFmtId="182" fontId="7" fillId="0" borderId="13" xfId="0" applyNumberFormat="1" applyFont="1" applyFill="1" applyBorder="1" applyAlignment="1" applyProtection="1">
      <alignment vertical="center"/>
      <protection locked="0"/>
    </xf>
    <xf numFmtId="182" fontId="7" fillId="0" borderId="9" xfId="0" applyNumberFormat="1" applyFont="1" applyFill="1" applyBorder="1" applyAlignment="1" applyProtection="1">
      <alignment vertical="center"/>
      <protection locked="0"/>
    </xf>
    <xf numFmtId="183" fontId="7" fillId="0" borderId="50" xfId="0" applyNumberFormat="1" applyFont="1" applyFill="1" applyBorder="1" applyAlignment="1" applyProtection="1">
      <alignment vertical="center"/>
      <protection locked="0"/>
    </xf>
    <xf numFmtId="183" fontId="7" fillId="0" borderId="51" xfId="0" applyNumberFormat="1" applyFont="1" applyFill="1" applyBorder="1" applyAlignment="1" applyProtection="1">
      <alignment vertical="center"/>
      <protection locked="0"/>
    </xf>
    <xf numFmtId="183" fontId="7" fillId="0" borderId="52" xfId="0" applyNumberFormat="1" applyFont="1" applyFill="1" applyBorder="1" applyAlignment="1" applyProtection="1">
      <alignment vertical="center"/>
      <protection locked="0"/>
    </xf>
    <xf numFmtId="183" fontId="7" fillId="0" borderId="18" xfId="0" applyNumberFormat="1" applyFont="1" applyFill="1" applyBorder="1" applyAlignment="1" applyProtection="1">
      <alignment vertical="center"/>
      <protection locked="0"/>
    </xf>
    <xf numFmtId="182" fontId="7" fillId="2" borderId="53" xfId="0" applyNumberFormat="1" applyFont="1" applyFill="1" applyBorder="1" applyAlignment="1" applyProtection="1">
      <alignment vertical="center"/>
      <protection locked="0"/>
    </xf>
    <xf numFmtId="180" fontId="7" fillId="2" borderId="20" xfId="0" applyNumberFormat="1" applyFont="1" applyFill="1" applyBorder="1" applyAlignment="1" applyProtection="1">
      <alignment vertical="center"/>
      <protection locked="0"/>
    </xf>
    <xf numFmtId="182" fontId="7" fillId="2" borderId="37" xfId="0" applyNumberFormat="1" applyFont="1" applyFill="1" applyBorder="1" applyAlignment="1" applyProtection="1">
      <alignment vertical="center"/>
      <protection locked="0"/>
    </xf>
    <xf numFmtId="180" fontId="7" fillId="2" borderId="37" xfId="0" applyNumberFormat="1" applyFont="1" applyFill="1" applyBorder="1" applyAlignment="1" applyProtection="1">
      <alignment vertical="center"/>
      <protection locked="0"/>
    </xf>
    <xf numFmtId="180" fontId="7" fillId="2" borderId="28" xfId="0" applyNumberFormat="1" applyFont="1" applyFill="1" applyBorder="1" applyAlignment="1" applyProtection="1">
      <alignment vertical="center"/>
      <protection/>
    </xf>
    <xf numFmtId="180" fontId="7" fillId="2" borderId="27" xfId="0" applyNumberFormat="1" applyFont="1" applyFill="1" applyBorder="1" applyAlignment="1" applyProtection="1">
      <alignment vertical="center"/>
      <protection/>
    </xf>
    <xf numFmtId="180" fontId="7" fillId="0" borderId="29" xfId="0" applyNumberFormat="1" applyFont="1" applyFill="1" applyBorder="1" applyAlignment="1" applyProtection="1">
      <alignment vertical="center"/>
      <protection/>
    </xf>
    <xf numFmtId="180" fontId="7" fillId="0" borderId="30" xfId="0" applyNumberFormat="1" applyFont="1" applyFill="1" applyBorder="1" applyAlignment="1" applyProtection="1">
      <alignment vertical="center"/>
      <protection/>
    </xf>
    <xf numFmtId="180" fontId="7" fillId="0" borderId="31" xfId="0" applyNumberFormat="1" applyFont="1" applyFill="1" applyBorder="1" applyAlignment="1" applyProtection="1">
      <alignment vertical="center"/>
      <protection/>
    </xf>
    <xf numFmtId="180" fontId="7" fillId="2" borderId="32" xfId="0" applyNumberFormat="1" applyFont="1" applyFill="1" applyBorder="1" applyAlignment="1" applyProtection="1">
      <alignment vertical="center"/>
      <protection/>
    </xf>
    <xf numFmtId="180" fontId="7" fillId="2" borderId="25" xfId="0" applyNumberFormat="1" applyFont="1" applyFill="1" applyBorder="1" applyAlignment="1" applyProtection="1">
      <alignment vertical="center"/>
      <protection/>
    </xf>
    <xf numFmtId="180" fontId="7" fillId="2" borderId="54" xfId="0" applyNumberFormat="1" applyFont="1" applyFill="1" applyBorder="1" applyAlignment="1" applyProtection="1">
      <alignment vertical="center"/>
      <protection/>
    </xf>
    <xf numFmtId="183" fontId="7" fillId="2" borderId="21" xfId="0" applyNumberFormat="1" applyFont="1" applyFill="1" applyBorder="1" applyAlignment="1" applyProtection="1">
      <alignment vertical="center"/>
      <protection/>
    </xf>
    <xf numFmtId="183" fontId="7" fillId="2" borderId="7" xfId="0" applyNumberFormat="1" applyFont="1" applyFill="1" applyBorder="1" applyAlignment="1" applyProtection="1">
      <alignment vertical="center"/>
      <protection/>
    </xf>
    <xf numFmtId="183" fontId="7" fillId="0" borderId="15" xfId="0" applyNumberFormat="1" applyFont="1" applyFill="1" applyBorder="1" applyAlignment="1" applyProtection="1">
      <alignment vertical="center"/>
      <protection/>
    </xf>
    <xf numFmtId="183" fontId="7" fillId="0" borderId="16" xfId="0" applyNumberFormat="1" applyFont="1" applyFill="1" applyBorder="1" applyAlignment="1" applyProtection="1">
      <alignment vertical="center"/>
      <protection/>
    </xf>
    <xf numFmtId="183" fontId="7" fillId="0" borderId="17" xfId="0" applyNumberFormat="1" applyFont="1" applyFill="1" applyBorder="1" applyAlignment="1" applyProtection="1">
      <alignment vertical="center"/>
      <protection/>
    </xf>
    <xf numFmtId="182" fontId="7" fillId="0" borderId="1" xfId="0" applyNumberFormat="1" applyFont="1" applyFill="1" applyBorder="1" applyAlignment="1">
      <alignment vertical="center" wrapText="1"/>
    </xf>
    <xf numFmtId="179" fontId="7" fillId="0" borderId="26" xfId="0" applyNumberFormat="1" applyFont="1" applyFill="1" applyBorder="1" applyAlignment="1">
      <alignment horizontal="center" vertical="center" wrapText="1"/>
    </xf>
    <xf numFmtId="180" fontId="7" fillId="0" borderId="49" xfId="0" applyNumberFormat="1" applyFont="1" applyFill="1" applyBorder="1" applyAlignment="1" applyProtection="1">
      <alignment vertical="center"/>
      <protection/>
    </xf>
    <xf numFmtId="182" fontId="7" fillId="0" borderId="6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Continuous" vertical="center" wrapText="1"/>
    </xf>
    <xf numFmtId="0" fontId="7" fillId="0" borderId="0" xfId="0" applyFont="1" applyFill="1" applyBorder="1" applyAlignment="1">
      <alignment horizontal="centerContinuous" vertical="center" wrapText="1"/>
    </xf>
    <xf numFmtId="180" fontId="7" fillId="0" borderId="3" xfId="0" applyNumberFormat="1" applyFont="1" applyFill="1" applyBorder="1" applyAlignment="1">
      <alignment vertical="center"/>
    </xf>
    <xf numFmtId="182" fontId="7" fillId="0" borderId="31" xfId="0" applyNumberFormat="1" applyFont="1" applyFill="1" applyBorder="1" applyAlignment="1">
      <alignment vertical="center"/>
    </xf>
    <xf numFmtId="180" fontId="7" fillId="0" borderId="4" xfId="0" applyNumberFormat="1" applyFont="1" applyFill="1" applyBorder="1" applyAlignment="1" applyProtection="1">
      <alignment vertical="center"/>
      <protection locked="0"/>
    </xf>
    <xf numFmtId="180" fontId="7" fillId="0" borderId="3" xfId="0" applyNumberFormat="1" applyFont="1" applyFill="1" applyBorder="1" applyAlignment="1" applyProtection="1">
      <alignment vertical="center"/>
      <protection locked="0"/>
    </xf>
    <xf numFmtId="180" fontId="7" fillId="0" borderId="3" xfId="0" applyNumberFormat="1" applyFont="1" applyFill="1" applyBorder="1" applyAlignment="1">
      <alignment horizontal="center" vertical="center"/>
    </xf>
    <xf numFmtId="182" fontId="7" fillId="0" borderId="26" xfId="0" applyNumberFormat="1" applyFont="1" applyFill="1" applyBorder="1" applyAlignment="1">
      <alignment horizontal="center" vertical="center"/>
    </xf>
    <xf numFmtId="182" fontId="7" fillId="0" borderId="3" xfId="0" applyNumberFormat="1" applyFont="1" applyFill="1" applyBorder="1" applyAlignment="1" applyProtection="1">
      <alignment horizontal="center" vertical="center"/>
      <protection locked="0"/>
    </xf>
    <xf numFmtId="182" fontId="7" fillId="0" borderId="14" xfId="0" applyNumberFormat="1" applyFont="1" applyFill="1" applyBorder="1" applyAlignment="1" applyProtection="1">
      <alignment vertical="center"/>
      <protection locked="0"/>
    </xf>
    <xf numFmtId="183" fontId="7" fillId="0" borderId="55" xfId="0" applyNumberFormat="1" applyFont="1" applyFill="1" applyBorder="1" applyAlignment="1" applyProtection="1">
      <alignment vertical="center"/>
      <protection locked="0"/>
    </xf>
    <xf numFmtId="0" fontId="7" fillId="0" borderId="49" xfId="0" applyFont="1" applyFill="1" applyBorder="1" applyAlignment="1">
      <alignment horizontal="centerContinuous" vertical="center" wrapText="1"/>
    </xf>
    <xf numFmtId="183" fontId="7" fillId="0" borderId="56" xfId="0" applyNumberFormat="1" applyFont="1" applyFill="1" applyBorder="1" applyAlignment="1" applyProtection="1">
      <alignment vertical="center"/>
      <protection locked="0"/>
    </xf>
    <xf numFmtId="0" fontId="7" fillId="0" borderId="54" xfId="0" applyFont="1" applyFill="1" applyBorder="1" applyAlignment="1">
      <alignment horizontal="distributed" vertical="center" wrapText="1"/>
    </xf>
    <xf numFmtId="182" fontId="7" fillId="0" borderId="54" xfId="0" applyNumberFormat="1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 applyProtection="1">
      <alignment vertical="center"/>
      <protection locked="0"/>
    </xf>
    <xf numFmtId="182" fontId="7" fillId="0" borderId="23" xfId="0" applyNumberFormat="1" applyFont="1" applyFill="1" applyBorder="1" applyAlignment="1" applyProtection="1">
      <alignment horizontal="center" vertical="center"/>
      <protection locked="0"/>
    </xf>
    <xf numFmtId="180" fontId="7" fillId="0" borderId="23" xfId="0" applyNumberFormat="1" applyFont="1" applyFill="1" applyBorder="1" applyAlignment="1" applyProtection="1">
      <alignment vertical="center"/>
      <protection locked="0"/>
    </xf>
    <xf numFmtId="182" fontId="7" fillId="0" borderId="23" xfId="0" applyNumberFormat="1" applyFont="1" applyFill="1" applyBorder="1" applyAlignment="1" applyProtection="1">
      <alignment vertical="center"/>
      <protection locked="0"/>
    </xf>
    <xf numFmtId="183" fontId="7" fillId="0" borderId="57" xfId="0" applyNumberFormat="1" applyFont="1" applyFill="1" applyBorder="1" applyAlignment="1" applyProtection="1">
      <alignment vertical="center"/>
      <protection locked="0"/>
    </xf>
    <xf numFmtId="182" fontId="7" fillId="0" borderId="20" xfId="0" applyNumberFormat="1" applyFont="1" applyFill="1" applyBorder="1" applyAlignment="1" applyProtection="1">
      <alignment vertical="center"/>
      <protection locked="0"/>
    </xf>
    <xf numFmtId="183" fontId="7" fillId="0" borderId="37" xfId="0" applyNumberFormat="1" applyFont="1" applyFill="1" applyBorder="1" applyAlignment="1" applyProtection="1">
      <alignment vertical="center"/>
      <protection locked="0"/>
    </xf>
    <xf numFmtId="179" fontId="7" fillId="0" borderId="27" xfId="0" applyNumberFormat="1" applyFont="1" applyFill="1" applyBorder="1" applyAlignment="1">
      <alignment horizontal="center" vertical="center" wrapText="1"/>
    </xf>
    <xf numFmtId="180" fontId="7" fillId="0" borderId="25" xfId="0" applyNumberFormat="1" applyFont="1" applyFill="1" applyBorder="1" applyAlignment="1" applyProtection="1">
      <alignment vertical="center"/>
      <protection locked="0"/>
    </xf>
    <xf numFmtId="180" fontId="7" fillId="0" borderId="45" xfId="0" applyNumberFormat="1" applyFont="1" applyFill="1" applyBorder="1" applyAlignment="1" applyProtection="1">
      <alignment vertical="center"/>
      <protection locked="0"/>
    </xf>
    <xf numFmtId="180" fontId="7" fillId="0" borderId="26" xfId="0" applyNumberFormat="1" applyFont="1" applyFill="1" applyBorder="1" applyAlignment="1" applyProtection="1">
      <alignment vertical="center"/>
      <protection locked="0"/>
    </xf>
    <xf numFmtId="180" fontId="7" fillId="0" borderId="54" xfId="0" applyNumberFormat="1" applyFont="1" applyFill="1" applyBorder="1" applyAlignment="1" applyProtection="1">
      <alignment vertical="center"/>
      <protection locked="0"/>
    </xf>
    <xf numFmtId="180" fontId="7" fillId="0" borderId="28" xfId="0" applyNumberFormat="1" applyFont="1" applyFill="1" applyBorder="1" applyAlignment="1" applyProtection="1">
      <alignment vertical="center"/>
      <protection locked="0"/>
    </xf>
    <xf numFmtId="183" fontId="7" fillId="0" borderId="15" xfId="0" applyNumberFormat="1" applyFont="1" applyFill="1" applyBorder="1" applyAlignment="1">
      <alignment horizontal="center" vertical="center" wrapText="1"/>
    </xf>
    <xf numFmtId="183" fontId="7" fillId="0" borderId="7" xfId="0" applyNumberFormat="1" applyFont="1" applyFill="1" applyBorder="1" applyAlignment="1">
      <alignment horizontal="center" vertical="center" wrapText="1"/>
    </xf>
    <xf numFmtId="183" fontId="7" fillId="0" borderId="22" xfId="0" applyNumberFormat="1" applyFont="1" applyFill="1" applyBorder="1" applyAlignment="1" applyProtection="1">
      <alignment vertical="center"/>
      <protection locked="0"/>
    </xf>
    <xf numFmtId="183" fontId="7" fillId="0" borderId="47" xfId="0" applyNumberFormat="1" applyFont="1" applyFill="1" applyBorder="1" applyAlignment="1" applyProtection="1">
      <alignment vertical="center"/>
      <protection locked="0"/>
    </xf>
    <xf numFmtId="183" fontId="7" fillId="0" borderId="17" xfId="0" applyNumberFormat="1" applyFont="1" applyFill="1" applyBorder="1" applyAlignment="1" applyProtection="1">
      <alignment vertical="center"/>
      <protection locked="0"/>
    </xf>
    <xf numFmtId="183" fontId="7" fillId="0" borderId="58" xfId="0" applyNumberFormat="1" applyFont="1" applyFill="1" applyBorder="1" applyAlignment="1" applyProtection="1">
      <alignment vertical="center"/>
      <protection locked="0"/>
    </xf>
    <xf numFmtId="183" fontId="7" fillId="0" borderId="59" xfId="0" applyNumberFormat="1" applyFont="1" applyFill="1" applyBorder="1" applyAlignment="1" applyProtection="1">
      <alignment vertical="center"/>
      <protection locked="0"/>
    </xf>
    <xf numFmtId="183" fontId="7" fillId="0" borderId="24" xfId="0" applyNumberFormat="1" applyFont="1" applyFill="1" applyBorder="1" applyAlignment="1" applyProtection="1">
      <alignment vertical="center"/>
      <protection locked="0"/>
    </xf>
    <xf numFmtId="183" fontId="7" fillId="0" borderId="21" xfId="0" applyNumberFormat="1" applyFont="1" applyFill="1" applyBorder="1" applyAlignment="1" applyProtection="1">
      <alignment vertical="center"/>
      <protection locked="0"/>
    </xf>
    <xf numFmtId="183" fontId="7" fillId="0" borderId="10" xfId="0" applyNumberFormat="1" applyFont="1" applyFill="1" applyBorder="1" applyAlignment="1" applyProtection="1">
      <alignment vertical="center"/>
      <protection locked="0"/>
    </xf>
    <xf numFmtId="180" fontId="7" fillId="0" borderId="58" xfId="0" applyNumberFormat="1" applyFont="1" applyFill="1" applyBorder="1" applyAlignment="1" applyProtection="1">
      <alignment vertical="center"/>
      <protection/>
    </xf>
    <xf numFmtId="180" fontId="7" fillId="3" borderId="12" xfId="0" applyNumberFormat="1" applyFont="1" applyFill="1" applyBorder="1" applyAlignment="1" applyProtection="1">
      <alignment vertical="center"/>
      <protection/>
    </xf>
    <xf numFmtId="179" fontId="7" fillId="2" borderId="9" xfId="0" applyNumberFormat="1" applyFont="1" applyFill="1" applyBorder="1" applyAlignment="1" applyProtection="1">
      <alignment vertical="center"/>
      <protection/>
    </xf>
    <xf numFmtId="179" fontId="7" fillId="2" borderId="6" xfId="0" applyNumberFormat="1" applyFont="1" applyFill="1" applyBorder="1" applyAlignment="1" applyProtection="1">
      <alignment vertical="center"/>
      <protection/>
    </xf>
    <xf numFmtId="179" fontId="7" fillId="0" borderId="35" xfId="0" applyNumberFormat="1" applyFont="1" applyFill="1" applyBorder="1" applyAlignment="1" applyProtection="1">
      <alignment vertical="center"/>
      <protection/>
    </xf>
    <xf numFmtId="179" fontId="7" fillId="0" borderId="36" xfId="0" applyNumberFormat="1" applyFont="1" applyFill="1" applyBorder="1" applyAlignment="1" applyProtection="1">
      <alignment vertical="center"/>
      <protection/>
    </xf>
    <xf numFmtId="179" fontId="7" fillId="0" borderId="51" xfId="0" applyNumberFormat="1" applyFont="1" applyFill="1" applyBorder="1" applyAlignment="1" applyProtection="1">
      <alignment vertical="center"/>
      <protection/>
    </xf>
    <xf numFmtId="179" fontId="7" fillId="2" borderId="20" xfId="0" applyNumberFormat="1" applyFont="1" applyFill="1" applyBorder="1" applyAlignment="1" applyProtection="1">
      <alignment vertical="center"/>
      <protection/>
    </xf>
    <xf numFmtId="179" fontId="7" fillId="2" borderId="1" xfId="0" applyNumberFormat="1" applyFont="1" applyFill="1" applyBorder="1" applyAlignment="1" applyProtection="1">
      <alignment vertical="center"/>
      <protection/>
    </xf>
    <xf numFmtId="179" fontId="7" fillId="2" borderId="23" xfId="0" applyNumberFormat="1" applyFont="1" applyFill="1" applyBorder="1" applyAlignment="1" applyProtection="1">
      <alignment vertical="center"/>
      <protection/>
    </xf>
    <xf numFmtId="180" fontId="7" fillId="3" borderId="6" xfId="0" applyNumberFormat="1" applyFont="1" applyFill="1" applyBorder="1" applyAlignment="1" applyProtection="1">
      <alignment vertical="center"/>
      <protection/>
    </xf>
    <xf numFmtId="180" fontId="7" fillId="3" borderId="60" xfId="0" applyNumberFormat="1" applyFont="1" applyFill="1" applyBorder="1" applyAlignment="1" applyProtection="1">
      <alignment vertical="center"/>
      <protection/>
    </xf>
    <xf numFmtId="180" fontId="7" fillId="3" borderId="3" xfId="0" applyNumberFormat="1" applyFont="1" applyFill="1" applyBorder="1" applyAlignment="1" applyProtection="1">
      <alignment vertical="center"/>
      <protection/>
    </xf>
    <xf numFmtId="180" fontId="7" fillId="3" borderId="13" xfId="0" applyNumberFormat="1" applyFont="1" applyFill="1" applyBorder="1" applyAlignment="1" applyProtection="1">
      <alignment vertical="center"/>
      <protection/>
    </xf>
    <xf numFmtId="180" fontId="7" fillId="3" borderId="23" xfId="0" applyNumberFormat="1" applyFont="1" applyFill="1" applyBorder="1" applyAlignment="1" applyProtection="1">
      <alignment vertical="center"/>
      <protection/>
    </xf>
    <xf numFmtId="182" fontId="7" fillId="3" borderId="27" xfId="0" applyNumberFormat="1" applyFont="1" applyFill="1" applyBorder="1" applyAlignment="1" applyProtection="1">
      <alignment vertical="center"/>
      <protection/>
    </xf>
    <xf numFmtId="182" fontId="7" fillId="3" borderId="30" xfId="0" applyNumberFormat="1" applyFont="1" applyFill="1" applyBorder="1" applyAlignment="1" applyProtection="1">
      <alignment vertical="center"/>
      <protection/>
    </xf>
    <xf numFmtId="182" fontId="7" fillId="3" borderId="31" xfId="0" applyNumberFormat="1" applyFont="1" applyFill="1" applyBorder="1" applyAlignment="1" applyProtection="1">
      <alignment vertical="center"/>
      <protection/>
    </xf>
    <xf numFmtId="180" fontId="7" fillId="3" borderId="1" xfId="0" applyNumberFormat="1" applyFont="1" applyFill="1" applyBorder="1" applyAlignment="1">
      <alignment vertical="center"/>
    </xf>
    <xf numFmtId="180" fontId="7" fillId="3" borderId="46" xfId="0" applyNumberFormat="1" applyFont="1" applyFill="1" applyBorder="1" applyAlignment="1">
      <alignment vertical="center"/>
    </xf>
    <xf numFmtId="180" fontId="7" fillId="3" borderId="3" xfId="0" applyNumberFormat="1" applyFont="1" applyFill="1" applyBorder="1" applyAlignment="1">
      <alignment vertical="center"/>
    </xf>
    <xf numFmtId="180" fontId="7" fillId="3" borderId="43" xfId="0" applyNumberFormat="1" applyFont="1" applyFill="1" applyBorder="1" applyAlignment="1" applyProtection="1">
      <alignment vertical="center"/>
      <protection/>
    </xf>
    <xf numFmtId="180" fontId="7" fillId="3" borderId="9" xfId="0" applyNumberFormat="1" applyFont="1" applyFill="1" applyBorder="1" applyAlignment="1">
      <alignment horizontal="center" vertical="center"/>
    </xf>
    <xf numFmtId="180" fontId="7" fillId="3" borderId="23" xfId="0" applyNumberFormat="1" applyFont="1" applyFill="1" applyBorder="1" applyAlignment="1">
      <alignment horizontal="center" vertical="center"/>
    </xf>
    <xf numFmtId="182" fontId="7" fillId="3" borderId="25" xfId="0" applyNumberFormat="1" applyFont="1" applyFill="1" applyBorder="1" applyAlignment="1">
      <alignment vertical="center"/>
    </xf>
    <xf numFmtId="182" fontId="7" fillId="3" borderId="45" xfId="0" applyNumberFormat="1" applyFont="1" applyFill="1" applyBorder="1" applyAlignment="1">
      <alignment vertical="center"/>
    </xf>
    <xf numFmtId="182" fontId="7" fillId="3" borderId="31" xfId="0" applyNumberFormat="1" applyFont="1" applyFill="1" applyBorder="1" applyAlignment="1">
      <alignment vertical="center"/>
    </xf>
    <xf numFmtId="182" fontId="7" fillId="3" borderId="49" xfId="0" applyNumberFormat="1" applyFont="1" applyFill="1" applyBorder="1" applyAlignment="1" applyProtection="1">
      <alignment vertical="center"/>
      <protection/>
    </xf>
    <xf numFmtId="182" fontId="7" fillId="3" borderId="28" xfId="0" applyNumberFormat="1" applyFont="1" applyFill="1" applyBorder="1" applyAlignment="1">
      <alignment horizontal="center" vertical="center"/>
    </xf>
    <xf numFmtId="182" fontId="7" fillId="3" borderId="54" xfId="0" applyNumberFormat="1" applyFont="1" applyFill="1" applyBorder="1" applyAlignment="1">
      <alignment horizontal="center" vertical="center"/>
    </xf>
    <xf numFmtId="182" fontId="7" fillId="3" borderId="1" xfId="0" applyNumberFormat="1" applyFont="1" applyFill="1" applyBorder="1" applyAlignment="1" applyProtection="1">
      <alignment vertical="center"/>
      <protection locked="0"/>
    </xf>
    <xf numFmtId="182" fontId="7" fillId="3" borderId="46" xfId="0" applyNumberFormat="1" applyFont="1" applyFill="1" applyBorder="1" applyAlignment="1" applyProtection="1">
      <alignment vertical="center"/>
      <protection locked="0"/>
    </xf>
    <xf numFmtId="182" fontId="7" fillId="3" borderId="13" xfId="0" applyNumberFormat="1" applyFont="1" applyFill="1" applyBorder="1" applyAlignment="1" applyProtection="1">
      <alignment vertical="center"/>
      <protection locked="0"/>
    </xf>
    <xf numFmtId="182" fontId="7" fillId="3" borderId="43" xfId="0" applyNumberFormat="1" applyFont="1" applyFill="1" applyBorder="1" applyAlignment="1" applyProtection="1">
      <alignment vertical="center"/>
      <protection locked="0"/>
    </xf>
    <xf numFmtId="182" fontId="7" fillId="3" borderId="42" xfId="0" applyNumberFormat="1" applyFont="1" applyFill="1" applyBorder="1" applyAlignment="1" applyProtection="1">
      <alignment vertical="center"/>
      <protection locked="0"/>
    </xf>
    <xf numFmtId="179" fontId="7" fillId="0" borderId="52" xfId="0" applyNumberFormat="1" applyFont="1" applyFill="1" applyBorder="1" applyAlignment="1" applyProtection="1">
      <alignment vertical="center"/>
      <protection locked="0"/>
    </xf>
    <xf numFmtId="179" fontId="7" fillId="0" borderId="50" xfId="0" applyNumberFormat="1" applyFont="1" applyFill="1" applyBorder="1" applyAlignment="1" applyProtection="1">
      <alignment vertical="center"/>
      <protection locked="0"/>
    </xf>
    <xf numFmtId="179" fontId="7" fillId="0" borderId="34" xfId="0" applyNumberFormat="1" applyFont="1" applyFill="1" applyBorder="1" applyAlignment="1" applyProtection="1">
      <alignment vertical="center"/>
      <protection locked="0"/>
    </xf>
    <xf numFmtId="179" fontId="7" fillId="0" borderId="43" xfId="0" applyNumberFormat="1" applyFont="1" applyFill="1" applyBorder="1" applyAlignment="1" applyProtection="1">
      <alignment vertical="center"/>
      <protection/>
    </xf>
    <xf numFmtId="179" fontId="7" fillId="0" borderId="57" xfId="0" applyNumberFormat="1" applyFont="1" applyFill="1" applyBorder="1" applyAlignment="1" applyProtection="1">
      <alignment vertical="center"/>
      <protection locked="0"/>
    </xf>
    <xf numFmtId="179" fontId="7" fillId="0" borderId="18" xfId="0" applyNumberFormat="1" applyFont="1" applyFill="1" applyBorder="1" applyAlignment="1" applyProtection="1">
      <alignment vertical="center"/>
      <protection locked="0"/>
    </xf>
    <xf numFmtId="180" fontId="7" fillId="0" borderId="3" xfId="0" applyNumberFormat="1" applyFont="1" applyFill="1" applyBorder="1" applyAlignment="1">
      <alignment horizontal="right" vertical="center"/>
    </xf>
    <xf numFmtId="180" fontId="7" fillId="0" borderId="23" xfId="0" applyNumberFormat="1" applyFont="1" applyFill="1" applyBorder="1" applyAlignment="1">
      <alignment horizontal="right" vertical="center"/>
    </xf>
    <xf numFmtId="180" fontId="7" fillId="0" borderId="1" xfId="0" applyNumberFormat="1" applyFont="1" applyFill="1" applyBorder="1" applyAlignment="1">
      <alignment horizontal="right" vertical="center"/>
    </xf>
    <xf numFmtId="180" fontId="7" fillId="0" borderId="46" xfId="0" applyNumberFormat="1" applyFont="1" applyFill="1" applyBorder="1" applyAlignment="1">
      <alignment horizontal="right" vertical="center"/>
    </xf>
    <xf numFmtId="180" fontId="7" fillId="0" borderId="43" xfId="0" applyNumberFormat="1" applyFont="1" applyFill="1" applyBorder="1" applyAlignment="1" applyProtection="1">
      <alignment horizontal="right" vertical="center"/>
      <protection/>
    </xf>
    <xf numFmtId="180" fontId="7" fillId="0" borderId="9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center" wrapText="1" readingOrder="1"/>
    </xf>
    <xf numFmtId="182" fontId="7" fillId="3" borderId="54" xfId="0" applyNumberFormat="1" applyFont="1" applyFill="1" applyBorder="1" applyAlignment="1" applyProtection="1">
      <alignment vertical="center"/>
      <protection/>
    </xf>
    <xf numFmtId="180" fontId="7" fillId="0" borderId="24" xfId="0" applyNumberFormat="1" applyFont="1" applyFill="1" applyBorder="1" applyAlignment="1" applyProtection="1">
      <alignment vertical="center"/>
      <protection/>
    </xf>
    <xf numFmtId="180" fontId="7" fillId="0" borderId="23" xfId="0" applyNumberFormat="1" applyFont="1" applyFill="1" applyBorder="1" applyAlignment="1" applyProtection="1">
      <alignment vertical="center"/>
      <protection/>
    </xf>
    <xf numFmtId="182" fontId="7" fillId="0" borderId="23" xfId="0" applyNumberFormat="1" applyFont="1" applyFill="1" applyBorder="1" applyAlignment="1" applyProtection="1">
      <alignment vertical="center"/>
      <protection/>
    </xf>
    <xf numFmtId="180" fontId="7" fillId="0" borderId="54" xfId="0" applyNumberFormat="1" applyFont="1" applyFill="1" applyBorder="1" applyAlignment="1" applyProtection="1">
      <alignment vertical="center"/>
      <protection/>
    </xf>
    <xf numFmtId="183" fontId="7" fillId="0" borderId="24" xfId="0" applyNumberFormat="1" applyFont="1" applyFill="1" applyBorder="1" applyAlignment="1" applyProtection="1">
      <alignment vertical="center"/>
      <protection/>
    </xf>
    <xf numFmtId="179" fontId="7" fillId="0" borderId="57" xfId="0" applyNumberFormat="1" applyFont="1" applyFill="1" applyBorder="1" applyAlignment="1" applyProtection="1">
      <alignment vertical="center"/>
      <protection/>
    </xf>
    <xf numFmtId="183" fontId="7" fillId="0" borderId="57" xfId="0" applyNumberFormat="1" applyFont="1" applyFill="1" applyBorder="1" applyAlignment="1" applyProtection="1">
      <alignment vertical="center"/>
      <protection/>
    </xf>
    <xf numFmtId="182" fontId="7" fillId="0" borderId="54" xfId="0" applyNumberFormat="1" applyFont="1" applyFill="1" applyBorder="1" applyAlignment="1" applyProtection="1">
      <alignment vertical="center"/>
      <protection/>
    </xf>
    <xf numFmtId="182" fontId="7" fillId="0" borderId="42" xfId="0" applyNumberFormat="1" applyFont="1" applyFill="1" applyBorder="1" applyAlignment="1">
      <alignment horizontal="center" vertical="center" wrapText="1"/>
    </xf>
    <xf numFmtId="179" fontId="7" fillId="0" borderId="39" xfId="0" applyNumberFormat="1" applyFont="1" applyFill="1" applyBorder="1" applyAlignment="1" applyProtection="1">
      <alignment vertical="center"/>
      <protection locked="0"/>
    </xf>
    <xf numFmtId="179" fontId="7" fillId="0" borderId="48" xfId="0" applyNumberFormat="1" applyFont="1" applyFill="1" applyBorder="1" applyAlignment="1" applyProtection="1">
      <alignment vertical="center"/>
      <protection locked="0"/>
    </xf>
    <xf numFmtId="179" fontId="7" fillId="0" borderId="0" xfId="0" applyNumberFormat="1" applyFont="1" applyFill="1" applyBorder="1" applyAlignment="1" applyProtection="1">
      <alignment vertical="center"/>
      <protection locked="0"/>
    </xf>
    <xf numFmtId="179" fontId="7" fillId="0" borderId="49" xfId="0" applyNumberFormat="1" applyFont="1" applyFill="1" applyBorder="1" applyAlignment="1" applyProtection="1">
      <alignment vertical="center"/>
      <protection/>
    </xf>
    <xf numFmtId="179" fontId="7" fillId="3" borderId="39" xfId="0" applyNumberFormat="1" applyFont="1" applyFill="1" applyBorder="1" applyAlignment="1" applyProtection="1">
      <alignment vertical="center"/>
      <protection locked="0"/>
    </xf>
    <xf numFmtId="179" fontId="7" fillId="3" borderId="48" xfId="0" applyNumberFormat="1" applyFont="1" applyFill="1" applyBorder="1" applyAlignment="1" applyProtection="1">
      <alignment vertical="center"/>
      <protection locked="0"/>
    </xf>
    <xf numFmtId="179" fontId="7" fillId="3" borderId="0" xfId="0" applyNumberFormat="1" applyFont="1" applyFill="1" applyBorder="1" applyAlignment="1" applyProtection="1">
      <alignment vertical="center"/>
      <protection locked="0"/>
    </xf>
    <xf numFmtId="179" fontId="7" fillId="3" borderId="49" xfId="0" applyNumberFormat="1" applyFont="1" applyFill="1" applyBorder="1" applyAlignment="1" applyProtection="1">
      <alignment vertical="center"/>
      <protection/>
    </xf>
    <xf numFmtId="179" fontId="7" fillId="3" borderId="33" xfId="0" applyNumberFormat="1" applyFont="1" applyFill="1" applyBorder="1" applyAlignment="1" applyProtection="1">
      <alignment horizontal="center" vertical="center"/>
      <protection locked="0"/>
    </xf>
    <xf numFmtId="179" fontId="7" fillId="3" borderId="6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/>
    </xf>
    <xf numFmtId="180" fontId="7" fillId="0" borderId="60" xfId="0" applyNumberFormat="1" applyFont="1" applyFill="1" applyBorder="1" applyAlignment="1">
      <alignment vertical="center"/>
    </xf>
    <xf numFmtId="180" fontId="7" fillId="0" borderId="43" xfId="0" applyNumberFormat="1" applyFont="1" applyFill="1" applyBorder="1" applyAlignment="1">
      <alignment vertical="center"/>
    </xf>
    <xf numFmtId="186" fontId="7" fillId="0" borderId="64" xfId="0" applyNumberFormat="1" applyFont="1" applyFill="1" applyBorder="1" applyAlignment="1">
      <alignment vertical="center"/>
    </xf>
    <xf numFmtId="186" fontId="7" fillId="0" borderId="65" xfId="0" applyNumberFormat="1" applyFont="1" applyFill="1" applyBorder="1" applyAlignment="1">
      <alignment vertical="center"/>
    </xf>
    <xf numFmtId="186" fontId="7" fillId="0" borderId="66" xfId="0" applyNumberFormat="1" applyFont="1" applyFill="1" applyBorder="1" applyAlignment="1">
      <alignment vertical="center"/>
    </xf>
    <xf numFmtId="186" fontId="7" fillId="0" borderId="67" xfId="0" applyNumberFormat="1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7" fillId="3" borderId="62" xfId="0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7" fillId="3" borderId="66" xfId="0" applyFont="1" applyFill="1" applyBorder="1" applyAlignment="1">
      <alignment vertical="center"/>
    </xf>
    <xf numFmtId="0" fontId="7" fillId="3" borderId="20" xfId="0" applyFont="1" applyFill="1" applyBorder="1" applyAlignment="1">
      <alignment vertical="center"/>
    </xf>
    <xf numFmtId="0" fontId="7" fillId="3" borderId="64" xfId="0" applyFont="1" applyFill="1" applyBorder="1" applyAlignment="1">
      <alignment vertical="center"/>
    </xf>
    <xf numFmtId="0" fontId="7" fillId="3" borderId="46" xfId="0" applyFont="1" applyFill="1" applyBorder="1" applyAlignment="1">
      <alignment vertical="center"/>
    </xf>
    <xf numFmtId="0" fontId="7" fillId="3" borderId="65" xfId="0" applyFont="1" applyFill="1" applyBorder="1" applyAlignment="1">
      <alignment vertical="center"/>
    </xf>
    <xf numFmtId="0" fontId="7" fillId="3" borderId="60" xfId="0" applyFont="1" applyFill="1" applyBorder="1" applyAlignment="1">
      <alignment vertical="center"/>
    </xf>
    <xf numFmtId="0" fontId="7" fillId="3" borderId="68" xfId="0" applyFont="1" applyFill="1" applyBorder="1" applyAlignment="1">
      <alignment vertical="center"/>
    </xf>
    <xf numFmtId="0" fontId="7" fillId="3" borderId="43" xfId="0" applyFont="1" applyFill="1" applyBorder="1" applyAlignment="1">
      <alignment vertical="center"/>
    </xf>
    <xf numFmtId="0" fontId="7" fillId="3" borderId="67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69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63" xfId="0" applyFont="1" applyFill="1" applyBorder="1" applyAlignment="1">
      <alignment vertical="center"/>
    </xf>
    <xf numFmtId="179" fontId="7" fillId="2" borderId="28" xfId="0" applyNumberFormat="1" applyFont="1" applyFill="1" applyBorder="1" applyAlignment="1" applyProtection="1">
      <alignment vertical="center"/>
      <protection/>
    </xf>
    <xf numFmtId="179" fontId="7" fillId="3" borderId="27" xfId="0" applyNumberFormat="1" applyFont="1" applyFill="1" applyBorder="1" applyAlignment="1" applyProtection="1">
      <alignment vertical="center"/>
      <protection/>
    </xf>
    <xf numFmtId="179" fontId="7" fillId="0" borderId="29" xfId="0" applyNumberFormat="1" applyFont="1" applyFill="1" applyBorder="1" applyAlignment="1" applyProtection="1">
      <alignment vertical="center"/>
      <protection/>
    </xf>
    <xf numFmtId="179" fontId="7" fillId="3" borderId="30" xfId="0" applyNumberFormat="1" applyFont="1" applyFill="1" applyBorder="1" applyAlignment="1" applyProtection="1">
      <alignment vertical="center"/>
      <protection/>
    </xf>
    <xf numFmtId="179" fontId="7" fillId="3" borderId="31" xfId="0" applyNumberFormat="1" applyFont="1" applyFill="1" applyBorder="1" applyAlignment="1" applyProtection="1">
      <alignment vertical="center"/>
      <protection/>
    </xf>
    <xf numFmtId="179" fontId="7" fillId="2" borderId="32" xfId="0" applyNumberFormat="1" applyFont="1" applyFill="1" applyBorder="1" applyAlignment="1" applyProtection="1">
      <alignment vertical="center"/>
      <protection/>
    </xf>
    <xf numFmtId="179" fontId="7" fillId="2" borderId="25" xfId="0" applyNumberFormat="1" applyFont="1" applyFill="1" applyBorder="1" applyAlignment="1" applyProtection="1">
      <alignment vertical="center"/>
      <protection/>
    </xf>
    <xf numFmtId="179" fontId="7" fillId="3" borderId="54" xfId="0" applyNumberFormat="1" applyFont="1" applyFill="1" applyBorder="1" applyAlignment="1" applyProtection="1">
      <alignment vertical="center"/>
      <protection/>
    </xf>
    <xf numFmtId="179" fontId="7" fillId="3" borderId="3" xfId="0" applyNumberFormat="1" applyFont="1" applyFill="1" applyBorder="1" applyAlignment="1" applyProtection="1">
      <alignment vertical="center"/>
      <protection/>
    </xf>
    <xf numFmtId="179" fontId="7" fillId="3" borderId="23" xfId="0" applyNumberFormat="1" applyFont="1" applyFill="1" applyBorder="1" applyAlignment="1" applyProtection="1">
      <alignment vertical="center"/>
      <protection/>
    </xf>
    <xf numFmtId="179" fontId="7" fillId="0" borderId="20" xfId="0" applyNumberFormat="1" applyFont="1" applyFill="1" applyBorder="1" applyAlignment="1" applyProtection="1">
      <alignment vertical="center"/>
      <protection/>
    </xf>
    <xf numFmtId="179" fontId="7" fillId="3" borderId="12" xfId="0" applyNumberFormat="1" applyFont="1" applyFill="1" applyBorder="1" applyAlignment="1" applyProtection="1">
      <alignment vertical="center"/>
      <protection/>
    </xf>
    <xf numFmtId="179" fontId="7" fillId="0" borderId="9" xfId="0" applyNumberFormat="1" applyFont="1" applyFill="1" applyBorder="1" applyAlignment="1" applyProtection="1">
      <alignment vertical="center"/>
      <protection/>
    </xf>
    <xf numFmtId="182" fontId="7" fillId="0" borderId="0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vertical="center"/>
    </xf>
    <xf numFmtId="181" fontId="7" fillId="2" borderId="64" xfId="0" applyNumberFormat="1" applyFont="1" applyFill="1" applyBorder="1" applyAlignment="1" applyProtection="1">
      <alignment vertical="center"/>
      <protection/>
    </xf>
    <xf numFmtId="181" fontId="7" fillId="3" borderId="70" xfId="0" applyNumberFormat="1" applyFont="1" applyFill="1" applyBorder="1" applyAlignment="1" applyProtection="1">
      <alignment vertical="center"/>
      <protection/>
    </xf>
    <xf numFmtId="181" fontId="7" fillId="0" borderId="71" xfId="0" applyNumberFormat="1" applyFont="1" applyFill="1" applyBorder="1" applyAlignment="1" applyProtection="1">
      <alignment vertical="center"/>
      <protection/>
    </xf>
    <xf numFmtId="181" fontId="7" fillId="3" borderId="72" xfId="0" applyNumberFormat="1" applyFont="1" applyFill="1" applyBorder="1" applyAlignment="1" applyProtection="1">
      <alignment vertical="center"/>
      <protection/>
    </xf>
    <xf numFmtId="181" fontId="7" fillId="3" borderId="73" xfId="0" applyNumberFormat="1" applyFont="1" applyFill="1" applyBorder="1" applyAlignment="1" applyProtection="1">
      <alignment vertical="center"/>
      <protection/>
    </xf>
    <xf numFmtId="181" fontId="7" fillId="0" borderId="0" xfId="0" applyNumberFormat="1" applyFont="1" applyFill="1" applyAlignment="1">
      <alignment vertical="center"/>
    </xf>
    <xf numFmtId="181" fontId="7" fillId="0" borderId="64" xfId="0" applyNumberFormat="1" applyFont="1" applyFill="1" applyBorder="1" applyAlignment="1" applyProtection="1">
      <alignment vertical="center"/>
      <protection/>
    </xf>
    <xf numFmtId="181" fontId="7" fillId="3" borderId="74" xfId="0" applyNumberFormat="1" applyFont="1" applyFill="1" applyBorder="1" applyAlignment="1" applyProtection="1">
      <alignment vertical="center"/>
      <protection/>
    </xf>
    <xf numFmtId="181" fontId="7" fillId="0" borderId="75" xfId="0" applyNumberFormat="1" applyFont="1" applyFill="1" applyBorder="1" applyAlignment="1" applyProtection="1">
      <alignment vertical="center"/>
      <protection/>
    </xf>
    <xf numFmtId="181" fontId="7" fillId="0" borderId="69" xfId="0" applyNumberFormat="1" applyFont="1" applyFill="1" applyBorder="1" applyAlignment="1" applyProtection="1">
      <alignment vertical="center"/>
      <protection/>
    </xf>
    <xf numFmtId="181" fontId="7" fillId="3" borderId="66" xfId="0" applyNumberFormat="1" applyFont="1" applyFill="1" applyBorder="1" applyAlignment="1" applyProtection="1">
      <alignment vertical="center"/>
      <protection/>
    </xf>
    <xf numFmtId="179" fontId="7" fillId="0" borderId="0" xfId="0" applyNumberFormat="1" applyFont="1" applyFill="1" applyBorder="1" applyAlignment="1" applyProtection="1">
      <alignment horizontal="right" vertical="center"/>
      <protection locked="0"/>
    </xf>
    <xf numFmtId="179" fontId="7" fillId="0" borderId="61" xfId="0" applyNumberFormat="1" applyFont="1" applyFill="1" applyBorder="1" applyAlignment="1" applyProtection="1">
      <alignment horizontal="right" vertical="center"/>
      <protection locked="0"/>
    </xf>
    <xf numFmtId="179" fontId="7" fillId="0" borderId="76" xfId="0" applyNumberFormat="1" applyFont="1" applyFill="1" applyBorder="1" applyAlignment="1">
      <alignment horizontal="center" vertical="center"/>
    </xf>
    <xf numFmtId="179" fontId="7" fillId="0" borderId="77" xfId="0" applyNumberFormat="1" applyFont="1" applyFill="1" applyBorder="1" applyAlignment="1">
      <alignment horizontal="center" vertical="center"/>
    </xf>
    <xf numFmtId="179" fontId="7" fillId="0" borderId="78" xfId="0" applyNumberFormat="1" applyFont="1" applyFill="1" applyBorder="1" applyAlignment="1">
      <alignment horizontal="center" vertical="center" wrapText="1"/>
    </xf>
    <xf numFmtId="179" fontId="7" fillId="0" borderId="79" xfId="0" applyNumberFormat="1" applyFont="1" applyFill="1" applyBorder="1" applyAlignment="1">
      <alignment horizontal="center" vertical="center" wrapText="1"/>
    </xf>
    <xf numFmtId="179" fontId="7" fillId="0" borderId="80" xfId="0" applyNumberFormat="1" applyFont="1" applyFill="1" applyBorder="1" applyAlignment="1">
      <alignment horizontal="center" vertical="center" wrapText="1"/>
    </xf>
    <xf numFmtId="179" fontId="7" fillId="0" borderId="81" xfId="0" applyNumberFormat="1" applyFont="1" applyFill="1" applyBorder="1" applyAlignment="1">
      <alignment horizontal="center" vertical="center" wrapText="1"/>
    </xf>
    <xf numFmtId="179" fontId="7" fillId="0" borderId="82" xfId="0" applyNumberFormat="1" applyFont="1" applyFill="1" applyBorder="1" applyAlignment="1">
      <alignment horizontal="center" vertical="center" wrapText="1"/>
    </xf>
    <xf numFmtId="179" fontId="7" fillId="2" borderId="83" xfId="0" applyNumberFormat="1" applyFont="1" applyFill="1" applyBorder="1" applyAlignment="1">
      <alignment horizontal="center" vertical="center" wrapText="1"/>
    </xf>
    <xf numFmtId="179" fontId="7" fillId="2" borderId="84" xfId="0" applyNumberFormat="1" applyFont="1" applyFill="1" applyBorder="1" applyAlignment="1">
      <alignment horizontal="center" vertical="center" wrapText="1"/>
    </xf>
    <xf numFmtId="179" fontId="7" fillId="0" borderId="85" xfId="0" applyNumberFormat="1" applyFont="1" applyFill="1" applyBorder="1" applyAlignment="1">
      <alignment horizontal="center" vertical="center"/>
    </xf>
    <xf numFmtId="183" fontId="7" fillId="0" borderId="86" xfId="0" applyNumberFormat="1" applyFont="1" applyFill="1" applyBorder="1" applyAlignment="1">
      <alignment horizontal="center" vertical="center" wrapText="1"/>
    </xf>
    <xf numFmtId="183" fontId="7" fillId="0" borderId="85" xfId="0" applyNumberFormat="1" applyFont="1" applyFill="1" applyBorder="1" applyAlignment="1">
      <alignment horizontal="center" vertical="center" wrapText="1"/>
    </xf>
    <xf numFmtId="183" fontId="7" fillId="0" borderId="87" xfId="0" applyNumberFormat="1" applyFont="1" applyFill="1" applyBorder="1" applyAlignment="1">
      <alignment horizontal="center" vertical="center" wrapText="1"/>
    </xf>
    <xf numFmtId="179" fontId="7" fillId="0" borderId="78" xfId="0" applyNumberFormat="1" applyFont="1" applyFill="1" applyBorder="1" applyAlignment="1">
      <alignment horizontal="center" vertical="center"/>
    </xf>
    <xf numFmtId="179" fontId="7" fillId="0" borderId="80" xfId="0" applyNumberFormat="1" applyFont="1" applyFill="1" applyBorder="1" applyAlignment="1">
      <alignment horizontal="center" vertical="center"/>
    </xf>
    <xf numFmtId="179" fontId="7" fillId="0" borderId="79" xfId="0" applyNumberFormat="1" applyFont="1" applyFill="1" applyBorder="1" applyAlignment="1">
      <alignment horizontal="center" vertical="center"/>
    </xf>
    <xf numFmtId="179" fontId="7" fillId="0" borderId="84" xfId="0" applyNumberFormat="1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left" vertical="center" wrapText="1"/>
    </xf>
    <xf numFmtId="0" fontId="7" fillId="0" borderId="89" xfId="0" applyFont="1" applyFill="1" applyBorder="1" applyAlignment="1">
      <alignment horizontal="left" vertical="center"/>
    </xf>
    <xf numFmtId="0" fontId="7" fillId="0" borderId="90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left" vertical="center"/>
    </xf>
    <xf numFmtId="0" fontId="7" fillId="0" borderId="92" xfId="0" applyFont="1" applyFill="1" applyBorder="1" applyAlignment="1">
      <alignment horizontal="left" vertical="center"/>
    </xf>
    <xf numFmtId="0" fontId="7" fillId="0" borderId="93" xfId="0" applyFont="1" applyFill="1" applyBorder="1" applyAlignment="1">
      <alignment horizontal="left" vertical="center"/>
    </xf>
    <xf numFmtId="179" fontId="7" fillId="2" borderId="78" xfId="0" applyNumberFormat="1" applyFont="1" applyFill="1" applyBorder="1" applyAlignment="1">
      <alignment horizontal="center" vertical="center"/>
    </xf>
    <xf numFmtId="179" fontId="7" fillId="2" borderId="84" xfId="0" applyNumberFormat="1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distributed" vertical="center" textRotation="255" wrapText="1"/>
    </xf>
    <xf numFmtId="0" fontId="7" fillId="0" borderId="79" xfId="0" applyFont="1" applyFill="1" applyBorder="1" applyAlignment="1">
      <alignment vertical="center" textRotation="255"/>
    </xf>
    <xf numFmtId="0" fontId="7" fillId="0" borderId="84" xfId="0" applyFont="1" applyFill="1" applyBorder="1" applyAlignment="1">
      <alignment vertical="center" textRotation="255"/>
    </xf>
    <xf numFmtId="179" fontId="7" fillId="0" borderId="87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5f5-34-05\&#20581;&#24247;&#12389;&#12367;&#12426;&#29677;\&#32113;&#35336;\H19&#32769;&#20445;&#32113;&#35336;\&#20445;&#20581;&#25152;&#12363;&#12425;&#22577;&#21578;\&#23713;&#23665;&#24066;&#20445;&#20581;&#25152;\&#12364;&#12435;&#26908;&#35386;%20(version%2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5f5-34-05\&#20581;&#24247;&#12389;&#12367;&#12426;&#29677;\&#32113;&#35336;\H19&#32769;&#20445;&#32113;&#35336;\&#20445;&#20581;&#25152;&#12363;&#12425;&#22577;&#21578;\&#23713;&#23665;&#24066;&#20445;&#20581;&#25152;\H19&#23376;&#2347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胃・大腸（男）"/>
      <sheetName val="胃・大腸（女）"/>
      <sheetName val="肺（男）"/>
      <sheetName val="肺（女）"/>
      <sheetName val="子宮"/>
      <sheetName val="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"/>
      <sheetName val="旧岡山市"/>
      <sheetName val="旧御津町"/>
      <sheetName val="旧灘崎町"/>
      <sheetName val="旧建部町"/>
      <sheetName val="旧瀬戸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tabSelected="1" view="pageBreakPreview" zoomScale="125" zoomScaleNormal="75" zoomScaleSheetLayoutView="125" workbookViewId="0" topLeftCell="A1">
      <pane xSplit="2" ySplit="4" topLeftCell="C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Z39" sqref="A39:Z40"/>
    </sheetView>
  </sheetViews>
  <sheetFormatPr defaultColWidth="9.00390625" defaultRowHeight="9.75" customHeight="1"/>
  <cols>
    <col min="1" max="1" width="9.75390625" style="31" customWidth="1"/>
    <col min="2" max="2" width="10.625" style="32" customWidth="1"/>
    <col min="3" max="3" width="7.625" style="13" customWidth="1"/>
    <col min="4" max="4" width="6.625" style="13" customWidth="1"/>
    <col min="5" max="5" width="6.125" style="56" customWidth="1"/>
    <col min="6" max="6" width="6.125" style="13" customWidth="1"/>
    <col min="7" max="7" width="4.625" style="56" customWidth="1"/>
    <col min="8" max="8" width="5.625" style="13" customWidth="1"/>
    <col min="9" max="9" width="5.625" style="56" customWidth="1"/>
    <col min="10" max="10" width="6.125" style="13" customWidth="1"/>
    <col min="11" max="11" width="5.625" style="56" customWidth="1"/>
    <col min="12" max="14" width="6.125" style="13" customWidth="1"/>
    <col min="15" max="15" width="7.125" style="13" customWidth="1"/>
    <col min="16" max="16" width="5.625" style="13" customWidth="1"/>
    <col min="17" max="17" width="6.125" style="13" customWidth="1"/>
    <col min="18" max="20" width="5.625" style="78" customWidth="1"/>
    <col min="21" max="21" width="5.625" style="56" customWidth="1"/>
    <col min="22" max="23" width="6.125" style="13" customWidth="1"/>
    <col min="24" max="24" width="6.875" style="56" bestFit="1" customWidth="1"/>
    <col min="25" max="26" width="6.875" style="56" customWidth="1"/>
    <col min="27" max="27" width="11.625" style="14" customWidth="1"/>
    <col min="28" max="16384" width="9.00390625" style="14" customWidth="1"/>
  </cols>
  <sheetData>
    <row r="1" spans="1:2" ht="15" customHeight="1" thickBot="1">
      <c r="A1" s="23" t="s">
        <v>101</v>
      </c>
      <c r="B1" s="24"/>
    </row>
    <row r="2" spans="1:26" s="4" customFormat="1" ht="9.75" customHeight="1">
      <c r="A2" s="321"/>
      <c r="B2" s="322"/>
      <c r="C2" s="1"/>
      <c r="D2" s="1"/>
      <c r="E2" s="57"/>
      <c r="F2" s="309" t="s">
        <v>53</v>
      </c>
      <c r="G2" s="310"/>
      <c r="H2" s="310"/>
      <c r="I2" s="310"/>
      <c r="J2" s="310" t="s">
        <v>54</v>
      </c>
      <c r="K2" s="310"/>
      <c r="L2" s="310" t="s">
        <v>55</v>
      </c>
      <c r="M2" s="310"/>
      <c r="N2" s="310"/>
      <c r="O2" s="310"/>
      <c r="P2" s="2"/>
      <c r="Q2" s="3"/>
      <c r="R2" s="314" t="s">
        <v>109</v>
      </c>
      <c r="S2" s="315"/>
      <c r="T2" s="316"/>
      <c r="U2" s="140"/>
      <c r="V2" s="304" t="s">
        <v>0</v>
      </c>
      <c r="W2" s="313"/>
      <c r="X2" s="290"/>
      <c r="Y2" s="304" t="s">
        <v>118</v>
      </c>
      <c r="Z2" s="305"/>
    </row>
    <row r="3" spans="1:26" s="8" customFormat="1" ht="30" customHeight="1">
      <c r="A3" s="323"/>
      <c r="B3" s="324"/>
      <c r="C3" s="5" t="s">
        <v>56</v>
      </c>
      <c r="D3" s="5" t="s">
        <v>57</v>
      </c>
      <c r="E3" s="58" t="s">
        <v>58</v>
      </c>
      <c r="F3" s="6" t="s">
        <v>59</v>
      </c>
      <c r="G3" s="66" t="s">
        <v>60</v>
      </c>
      <c r="H3" s="36" t="s">
        <v>61</v>
      </c>
      <c r="I3" s="69" t="s">
        <v>62</v>
      </c>
      <c r="J3" s="5" t="s">
        <v>63</v>
      </c>
      <c r="K3" s="69" t="s">
        <v>60</v>
      </c>
      <c r="L3" s="5" t="s">
        <v>64</v>
      </c>
      <c r="M3" s="5" t="s">
        <v>65</v>
      </c>
      <c r="N3" s="5" t="s">
        <v>66</v>
      </c>
      <c r="O3" s="5" t="s">
        <v>67</v>
      </c>
      <c r="P3" s="5" t="s">
        <v>68</v>
      </c>
      <c r="Q3" s="7" t="s">
        <v>69</v>
      </c>
      <c r="R3" s="79" t="s">
        <v>70</v>
      </c>
      <c r="S3" s="79" t="s">
        <v>103</v>
      </c>
      <c r="T3" s="79" t="s">
        <v>105</v>
      </c>
      <c r="U3" s="69" t="s">
        <v>112</v>
      </c>
      <c r="V3" s="5" t="s">
        <v>72</v>
      </c>
      <c r="W3" s="66" t="s">
        <v>73</v>
      </c>
      <c r="X3" s="58" t="s">
        <v>113</v>
      </c>
      <c r="Y3" s="250" t="s">
        <v>116</v>
      </c>
      <c r="Z3" s="252" t="s">
        <v>60</v>
      </c>
    </row>
    <row r="4" spans="1:26" s="4" customFormat="1" ht="9.75" customHeight="1" thickBot="1">
      <c r="A4" s="325"/>
      <c r="B4" s="326"/>
      <c r="C4" s="9" t="s">
        <v>74</v>
      </c>
      <c r="D4" s="10" t="s">
        <v>75</v>
      </c>
      <c r="E4" s="59" t="s">
        <v>76</v>
      </c>
      <c r="F4" s="11" t="s">
        <v>77</v>
      </c>
      <c r="G4" s="67" t="s">
        <v>78</v>
      </c>
      <c r="H4" s="9" t="s">
        <v>79</v>
      </c>
      <c r="I4" s="70" t="s">
        <v>80</v>
      </c>
      <c r="J4" s="9" t="s">
        <v>81</v>
      </c>
      <c r="K4" s="70" t="s">
        <v>82</v>
      </c>
      <c r="L4" s="9"/>
      <c r="M4" s="9" t="s">
        <v>83</v>
      </c>
      <c r="N4" s="9"/>
      <c r="O4" s="9"/>
      <c r="P4" s="9"/>
      <c r="Q4" s="12"/>
      <c r="R4" s="80" t="s">
        <v>84</v>
      </c>
      <c r="S4" s="80" t="s">
        <v>104</v>
      </c>
      <c r="T4" s="80" t="s">
        <v>106</v>
      </c>
      <c r="U4" s="70" t="s">
        <v>85</v>
      </c>
      <c r="V4" s="10" t="s">
        <v>107</v>
      </c>
      <c r="W4" s="59" t="s">
        <v>108</v>
      </c>
      <c r="X4" s="59" t="s">
        <v>114</v>
      </c>
      <c r="Y4" s="251" t="s">
        <v>115</v>
      </c>
      <c r="Z4" s="253" t="s">
        <v>117</v>
      </c>
    </row>
    <row r="5" spans="1:26" ht="9.75" customHeight="1">
      <c r="A5" s="327" t="s">
        <v>50</v>
      </c>
      <c r="B5" s="38" t="s">
        <v>51</v>
      </c>
      <c r="C5" s="39">
        <f>SUM(C13,C17,C25,C33,C39,C51,C55,C59,C65,C75,C85)</f>
        <v>829060</v>
      </c>
      <c r="D5" s="39">
        <f>SUM(D13,D17,D25,D33,D39,D51,D55,D59,D65,D75,D85)</f>
        <v>390327</v>
      </c>
      <c r="E5" s="60">
        <f aca="true" t="shared" si="0" ref="E5:E41">D5/C5*100</f>
        <v>47.080669674088725</v>
      </c>
      <c r="F5" s="48">
        <f>SUM(F13,F17,F25,F33,F39,F51,F55,F59,F65,F75,F85)</f>
        <v>56933</v>
      </c>
      <c r="G5" s="68">
        <f aca="true" t="shared" si="1" ref="G5:G41">F5/D5*100</f>
        <v>14.58597534887415</v>
      </c>
      <c r="H5" s="40">
        <f aca="true" t="shared" si="2" ref="H5:H42">SUM(L5:Q5)</f>
        <v>371</v>
      </c>
      <c r="I5" s="71">
        <f aca="true" t="shared" si="3" ref="I5:I42">H5/F5*100</f>
        <v>0.6516431595032758</v>
      </c>
      <c r="J5" s="41">
        <f aca="true" t="shared" si="4" ref="J5:J42">SUM(L5:O5)</f>
        <v>289</v>
      </c>
      <c r="K5" s="71">
        <f aca="true" t="shared" si="5" ref="K5:K42">J5/H5*100</f>
        <v>77.89757412398922</v>
      </c>
      <c r="L5" s="39">
        <f aca="true" t="shared" si="6" ref="L5:Q6">SUM(L13,L17,L25,L33,L39,L51,L55,L59,L65,L75,L85)</f>
        <v>116</v>
      </c>
      <c r="M5" s="39">
        <f t="shared" si="6"/>
        <v>27</v>
      </c>
      <c r="N5" s="39">
        <f t="shared" si="6"/>
        <v>22</v>
      </c>
      <c r="O5" s="39">
        <f t="shared" si="6"/>
        <v>124</v>
      </c>
      <c r="P5" s="39">
        <f t="shared" si="6"/>
        <v>56</v>
      </c>
      <c r="Q5" s="127">
        <f t="shared" si="6"/>
        <v>26</v>
      </c>
      <c r="R5" s="135">
        <f aca="true" t="shared" si="7" ref="R5:R42">M5/F5*100</f>
        <v>0.04742416524686913</v>
      </c>
      <c r="S5" s="184">
        <f>SUM(S13,S17,S25,S33,S39,S51,S55,S59,S65,S75,S85)</f>
        <v>12</v>
      </c>
      <c r="T5" s="81">
        <f aca="true" t="shared" si="8" ref="T5:T18">S5/F5*100</f>
        <v>0.021077406776386278</v>
      </c>
      <c r="U5" s="87">
        <f aca="true" t="shared" si="9" ref="U5:U42">M5/J5*100</f>
        <v>9.342560553633218</v>
      </c>
      <c r="V5" s="39">
        <f>SUM(V13,V17,V25,V33,V39,V51,V55,V59,V65,V75,V85)</f>
        <v>14265</v>
      </c>
      <c r="W5" s="60">
        <f aca="true" t="shared" si="10" ref="W5:W42">U5/E5*100</f>
        <v>19.843729110707574</v>
      </c>
      <c r="X5" s="276">
        <f>SUM(X13,X17,X25,X33,X39,X51,X55,X59,X65,X75,X85)</f>
        <v>33073</v>
      </c>
      <c r="Y5" s="276">
        <f>SUM(Y13,Y17,Y25,Y33,Y39,Y51,Y55,Y59,Y65,Y75,Y85)</f>
        <v>59753</v>
      </c>
      <c r="Z5" s="291">
        <f>(F5+Y5-X5)/D5*100</f>
        <v>21.421269858349536</v>
      </c>
    </row>
    <row r="6" spans="1:26" ht="9.75" customHeight="1" thickBot="1">
      <c r="A6" s="328"/>
      <c r="B6" s="42" t="s">
        <v>52</v>
      </c>
      <c r="C6" s="192"/>
      <c r="D6" s="192"/>
      <c r="E6" s="197"/>
      <c r="F6" s="49">
        <f>SUM(F14,F18,F26,F34,F40,F52,F56,F60,F66,F76,F86)</f>
        <v>2240</v>
      </c>
      <c r="G6" s="216"/>
      <c r="H6" s="44">
        <f t="shared" si="2"/>
        <v>30</v>
      </c>
      <c r="I6" s="72">
        <f t="shared" si="3"/>
        <v>1.3392857142857142</v>
      </c>
      <c r="J6" s="45">
        <f t="shared" si="4"/>
        <v>20</v>
      </c>
      <c r="K6" s="72">
        <f t="shared" si="5"/>
        <v>66.66666666666666</v>
      </c>
      <c r="L6" s="43">
        <f t="shared" si="6"/>
        <v>10</v>
      </c>
      <c r="M6" s="43">
        <f t="shared" si="6"/>
        <v>1</v>
      </c>
      <c r="N6" s="43">
        <f t="shared" si="6"/>
        <v>3</v>
      </c>
      <c r="O6" s="43">
        <f t="shared" si="6"/>
        <v>6</v>
      </c>
      <c r="P6" s="43">
        <f t="shared" si="6"/>
        <v>6</v>
      </c>
      <c r="Q6" s="128">
        <f t="shared" si="6"/>
        <v>4</v>
      </c>
      <c r="R6" s="136">
        <f t="shared" si="7"/>
        <v>0.044642857142857144</v>
      </c>
      <c r="S6" s="185">
        <f>SUM(S14,S18,S26,S34,S40,S52,S56,S60,S66,S76,S86)</f>
        <v>1</v>
      </c>
      <c r="T6" s="82">
        <f t="shared" si="8"/>
        <v>0.044642857142857144</v>
      </c>
      <c r="U6" s="77">
        <f t="shared" si="9"/>
        <v>5</v>
      </c>
      <c r="V6" s="43">
        <f>SUM(V14,V18,V26,V34,V40,V52,V56,V60,V66,V76,V86)</f>
        <v>1092</v>
      </c>
      <c r="W6" s="61" t="e">
        <f t="shared" si="10"/>
        <v>#DIV/0!</v>
      </c>
      <c r="X6" s="277"/>
      <c r="Y6" s="285"/>
      <c r="Z6" s="292"/>
    </row>
    <row r="7" spans="1:26" ht="9.75" customHeight="1">
      <c r="A7" s="306" t="s">
        <v>90</v>
      </c>
      <c r="B7" s="26" t="s">
        <v>51</v>
      </c>
      <c r="C7" s="18">
        <v>281808</v>
      </c>
      <c r="D7" s="18">
        <v>114000</v>
      </c>
      <c r="E7" s="62">
        <f t="shared" si="0"/>
        <v>40.45307443365696</v>
      </c>
      <c r="F7" s="33">
        <v>16148</v>
      </c>
      <c r="G7" s="62">
        <f t="shared" si="1"/>
        <v>14.164912280701754</v>
      </c>
      <c r="H7" s="18">
        <f t="shared" si="2"/>
        <v>158</v>
      </c>
      <c r="I7" s="73">
        <f t="shared" si="3"/>
        <v>0.9784493435719595</v>
      </c>
      <c r="J7" s="18">
        <f t="shared" si="4"/>
        <v>105</v>
      </c>
      <c r="K7" s="73">
        <f t="shared" si="5"/>
        <v>66.45569620253164</v>
      </c>
      <c r="L7" s="18">
        <v>35</v>
      </c>
      <c r="M7" s="18">
        <v>7</v>
      </c>
      <c r="N7" s="18">
        <v>11</v>
      </c>
      <c r="O7" s="18">
        <v>52</v>
      </c>
      <c r="P7" s="18">
        <v>46</v>
      </c>
      <c r="Q7" s="129">
        <v>7</v>
      </c>
      <c r="R7" s="137">
        <f t="shared" si="7"/>
        <v>0.043349021550656425</v>
      </c>
      <c r="S7" s="186">
        <v>2</v>
      </c>
      <c r="T7" s="83">
        <f t="shared" si="8"/>
        <v>0.012385434728758977</v>
      </c>
      <c r="U7" s="73">
        <f t="shared" si="9"/>
        <v>6.666666666666667</v>
      </c>
      <c r="V7" s="18">
        <v>5366</v>
      </c>
      <c r="W7" s="62">
        <f t="shared" si="10"/>
        <v>16.48</v>
      </c>
      <c r="X7" s="278">
        <v>8586</v>
      </c>
      <c r="Y7" s="286">
        <v>19338</v>
      </c>
      <c r="Z7" s="297">
        <f>(F7+Y7-X7)/D7*100</f>
        <v>23.596491228070178</v>
      </c>
    </row>
    <row r="8" spans="1:26" ht="9.75" customHeight="1">
      <c r="A8" s="308"/>
      <c r="B8" s="27" t="s">
        <v>52</v>
      </c>
      <c r="C8" s="183"/>
      <c r="D8" s="183"/>
      <c r="E8" s="198"/>
      <c r="F8" s="34">
        <v>1963</v>
      </c>
      <c r="G8" s="198"/>
      <c r="H8" s="19">
        <f t="shared" si="2"/>
        <v>15</v>
      </c>
      <c r="I8" s="74">
        <f t="shared" si="3"/>
        <v>0.7641365257259297</v>
      </c>
      <c r="J8" s="19">
        <f t="shared" si="4"/>
        <v>9</v>
      </c>
      <c r="K8" s="74">
        <f t="shared" si="5"/>
        <v>60</v>
      </c>
      <c r="L8" s="19">
        <v>5</v>
      </c>
      <c r="M8" s="19">
        <v>0</v>
      </c>
      <c r="N8" s="19">
        <v>3</v>
      </c>
      <c r="O8" s="19">
        <v>1</v>
      </c>
      <c r="P8" s="19">
        <v>6</v>
      </c>
      <c r="Q8" s="130">
        <v>0</v>
      </c>
      <c r="R8" s="138">
        <f t="shared" si="7"/>
        <v>0</v>
      </c>
      <c r="S8" s="187">
        <v>1</v>
      </c>
      <c r="T8" s="84">
        <f t="shared" si="8"/>
        <v>0.05094243504839531</v>
      </c>
      <c r="U8" s="74">
        <f t="shared" si="9"/>
        <v>0</v>
      </c>
      <c r="V8" s="19">
        <v>982</v>
      </c>
      <c r="W8" s="63" t="e">
        <f t="shared" si="10"/>
        <v>#DIV/0!</v>
      </c>
      <c r="X8" s="279"/>
      <c r="Y8" s="287"/>
      <c r="Z8" s="298"/>
    </row>
    <row r="9" spans="1:26" ht="9.75" customHeight="1">
      <c r="A9" s="306" t="s">
        <v>91</v>
      </c>
      <c r="B9" s="25" t="s">
        <v>51</v>
      </c>
      <c r="C9" s="15">
        <v>4912</v>
      </c>
      <c r="D9" s="15">
        <v>1045</v>
      </c>
      <c r="E9" s="62">
        <f t="shared" si="0"/>
        <v>21.274429967426713</v>
      </c>
      <c r="F9" s="33">
        <v>325</v>
      </c>
      <c r="G9" s="62">
        <f t="shared" si="1"/>
        <v>31.100478468899524</v>
      </c>
      <c r="H9" s="18">
        <f t="shared" si="2"/>
        <v>0</v>
      </c>
      <c r="I9" s="73">
        <f t="shared" si="3"/>
        <v>0</v>
      </c>
      <c r="J9" s="18">
        <f t="shared" si="4"/>
        <v>0</v>
      </c>
      <c r="K9" s="73" t="e">
        <f t="shared" si="5"/>
        <v>#DIV/0!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29">
        <v>0</v>
      </c>
      <c r="R9" s="137">
        <f t="shared" si="7"/>
        <v>0</v>
      </c>
      <c r="S9" s="186">
        <v>0</v>
      </c>
      <c r="T9" s="83">
        <f t="shared" si="8"/>
        <v>0</v>
      </c>
      <c r="U9" s="73" t="e">
        <f t="shared" si="9"/>
        <v>#DIV/0!</v>
      </c>
      <c r="V9" s="18">
        <v>36</v>
      </c>
      <c r="W9" s="62" t="e">
        <f t="shared" si="10"/>
        <v>#DIV/0!</v>
      </c>
      <c r="X9" s="278">
        <v>254</v>
      </c>
      <c r="Y9" s="288">
        <v>458</v>
      </c>
      <c r="Z9" s="300">
        <f>(F9+Y9-X9)/D9*100</f>
        <v>50.622009569377994</v>
      </c>
    </row>
    <row r="10" spans="1:26" ht="9.75" customHeight="1">
      <c r="A10" s="308"/>
      <c r="B10" s="28" t="s">
        <v>52</v>
      </c>
      <c r="C10" s="193"/>
      <c r="D10" s="193"/>
      <c r="E10" s="198"/>
      <c r="F10" s="34">
        <v>0</v>
      </c>
      <c r="G10" s="198"/>
      <c r="H10" s="19">
        <f t="shared" si="2"/>
        <v>0</v>
      </c>
      <c r="I10" s="74" t="e">
        <f t="shared" si="3"/>
        <v>#DIV/0!</v>
      </c>
      <c r="J10" s="19">
        <f t="shared" si="4"/>
        <v>0</v>
      </c>
      <c r="K10" s="74" t="e">
        <f t="shared" si="5"/>
        <v>#DIV/0!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30">
        <v>0</v>
      </c>
      <c r="R10" s="138" t="e">
        <f t="shared" si="7"/>
        <v>#DIV/0!</v>
      </c>
      <c r="S10" s="187">
        <v>0</v>
      </c>
      <c r="T10" s="84" t="e">
        <f t="shared" si="8"/>
        <v>#DIV/0!</v>
      </c>
      <c r="U10" s="74" t="e">
        <f t="shared" si="9"/>
        <v>#DIV/0!</v>
      </c>
      <c r="V10" s="19">
        <v>0</v>
      </c>
      <c r="W10" s="63" t="e">
        <f t="shared" si="10"/>
        <v>#DIV/0!</v>
      </c>
      <c r="X10" s="279"/>
      <c r="Y10" s="287"/>
      <c r="Z10" s="298"/>
    </row>
    <row r="11" spans="1:26" ht="9.75" customHeight="1">
      <c r="A11" s="306" t="s">
        <v>92</v>
      </c>
      <c r="B11" s="25" t="s">
        <v>51</v>
      </c>
      <c r="C11" s="15">
        <v>2985</v>
      </c>
      <c r="D11" s="15">
        <v>318</v>
      </c>
      <c r="E11" s="62">
        <f t="shared" si="0"/>
        <v>10.65326633165829</v>
      </c>
      <c r="F11" s="33">
        <v>207</v>
      </c>
      <c r="G11" s="62">
        <f t="shared" si="1"/>
        <v>65.09433962264151</v>
      </c>
      <c r="H11" s="18">
        <f t="shared" si="2"/>
        <v>1</v>
      </c>
      <c r="I11" s="73">
        <f t="shared" si="3"/>
        <v>0.4830917874396135</v>
      </c>
      <c r="J11" s="18">
        <f t="shared" si="4"/>
        <v>1</v>
      </c>
      <c r="K11" s="73">
        <f t="shared" si="5"/>
        <v>100</v>
      </c>
      <c r="L11" s="18">
        <v>0</v>
      </c>
      <c r="M11" s="18">
        <v>1</v>
      </c>
      <c r="N11" s="18">
        <v>0</v>
      </c>
      <c r="O11" s="18">
        <v>0</v>
      </c>
      <c r="P11" s="18">
        <v>0</v>
      </c>
      <c r="Q11" s="129">
        <v>0</v>
      </c>
      <c r="R11" s="137">
        <f t="shared" si="7"/>
        <v>0.4830917874396135</v>
      </c>
      <c r="S11" s="186">
        <v>0</v>
      </c>
      <c r="T11" s="83">
        <f t="shared" si="8"/>
        <v>0</v>
      </c>
      <c r="U11" s="73">
        <f t="shared" si="9"/>
        <v>100</v>
      </c>
      <c r="V11" s="18">
        <v>33</v>
      </c>
      <c r="W11" s="62">
        <f t="shared" si="10"/>
        <v>938.6792452830189</v>
      </c>
      <c r="X11" s="278">
        <v>120</v>
      </c>
      <c r="Y11" s="288">
        <v>192</v>
      </c>
      <c r="Z11" s="299">
        <f>(F11+Y11-X11)/D11*100</f>
        <v>87.73584905660378</v>
      </c>
    </row>
    <row r="12" spans="1:26" ht="9.75" customHeight="1" thickBot="1">
      <c r="A12" s="307"/>
      <c r="B12" s="28" t="s">
        <v>52</v>
      </c>
      <c r="C12" s="194"/>
      <c r="D12" s="194"/>
      <c r="E12" s="199"/>
      <c r="F12" s="35">
        <v>0</v>
      </c>
      <c r="G12" s="199"/>
      <c r="H12" s="20">
        <f t="shared" si="2"/>
        <v>0</v>
      </c>
      <c r="I12" s="75" t="e">
        <f t="shared" si="3"/>
        <v>#DIV/0!</v>
      </c>
      <c r="J12" s="20">
        <f t="shared" si="4"/>
        <v>0</v>
      </c>
      <c r="K12" s="75" t="e">
        <f t="shared" si="5"/>
        <v>#DIV/0!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131">
        <v>0</v>
      </c>
      <c r="R12" s="139" t="e">
        <f t="shared" si="7"/>
        <v>#DIV/0!</v>
      </c>
      <c r="S12" s="188">
        <v>0</v>
      </c>
      <c r="T12" s="84" t="e">
        <f t="shared" si="8"/>
        <v>#DIV/0!</v>
      </c>
      <c r="U12" s="75" t="e">
        <f t="shared" si="9"/>
        <v>#DIV/0!</v>
      </c>
      <c r="V12" s="20">
        <v>0</v>
      </c>
      <c r="W12" s="64" t="e">
        <f t="shared" si="10"/>
        <v>#DIV/0!</v>
      </c>
      <c r="X12" s="280"/>
      <c r="Y12" s="285"/>
      <c r="Z12" s="298"/>
    </row>
    <row r="13" spans="1:26" ht="9.75" customHeight="1">
      <c r="A13" s="311" t="s">
        <v>39</v>
      </c>
      <c r="B13" s="46" t="s">
        <v>51</v>
      </c>
      <c r="C13" s="47">
        <f>SUM(C7,C9,C11)</f>
        <v>289705</v>
      </c>
      <c r="D13" s="47">
        <f>SUM(D7,D9,D11)</f>
        <v>115363</v>
      </c>
      <c r="E13" s="65">
        <f t="shared" si="0"/>
        <v>39.820852246250496</v>
      </c>
      <c r="F13" s="48">
        <f>SUM(F7,F9,F11)</f>
        <v>16680</v>
      </c>
      <c r="G13" s="123">
        <f t="shared" si="1"/>
        <v>14.458708598077374</v>
      </c>
      <c r="H13" s="124">
        <f t="shared" si="2"/>
        <v>159</v>
      </c>
      <c r="I13" s="125">
        <f t="shared" si="3"/>
        <v>0.9532374100719424</v>
      </c>
      <c r="J13" s="126">
        <f t="shared" si="4"/>
        <v>106</v>
      </c>
      <c r="K13" s="125">
        <f t="shared" si="5"/>
        <v>66.66666666666666</v>
      </c>
      <c r="L13" s="47">
        <f aca="true" t="shared" si="11" ref="L13:Q13">SUM(L7,L9,L11)</f>
        <v>35</v>
      </c>
      <c r="M13" s="47">
        <f t="shared" si="11"/>
        <v>8</v>
      </c>
      <c r="N13" s="47">
        <f t="shared" si="11"/>
        <v>11</v>
      </c>
      <c r="O13" s="47">
        <f t="shared" si="11"/>
        <v>52</v>
      </c>
      <c r="P13" s="47">
        <f t="shared" si="11"/>
        <v>46</v>
      </c>
      <c r="Q13" s="132">
        <f t="shared" si="11"/>
        <v>7</v>
      </c>
      <c r="R13" s="135">
        <f t="shared" si="7"/>
        <v>0.047961630695443645</v>
      </c>
      <c r="S13" s="47">
        <f>SUM(S7,S9,S11)</f>
        <v>2</v>
      </c>
      <c r="T13" s="85">
        <f t="shared" si="8"/>
        <v>0.011990407673860911</v>
      </c>
      <c r="U13" s="76">
        <f t="shared" si="9"/>
        <v>7.547169811320755</v>
      </c>
      <c r="V13" s="47">
        <f>SUM(V7,V9,V11)</f>
        <v>5435</v>
      </c>
      <c r="W13" s="65">
        <f t="shared" si="10"/>
        <v>18.95280835440028</v>
      </c>
      <c r="X13" s="132">
        <f>SUM(X7,X9,X11)</f>
        <v>8960</v>
      </c>
      <c r="Y13" s="132">
        <f>SUM(Y7,Y9,Y11)</f>
        <v>19988</v>
      </c>
      <c r="Z13" s="291">
        <f>(F13+Y13-X13)/D13*100</f>
        <v>24.018099390619177</v>
      </c>
    </row>
    <row r="14" spans="1:26" ht="9.75" customHeight="1" thickBot="1">
      <c r="A14" s="312"/>
      <c r="B14" s="42" t="s">
        <v>52</v>
      </c>
      <c r="C14" s="192"/>
      <c r="D14" s="192"/>
      <c r="E14" s="197"/>
      <c r="F14" s="49">
        <f>SUM(F8,F10,F12,)</f>
        <v>1963</v>
      </c>
      <c r="G14" s="216"/>
      <c r="H14" s="44">
        <f t="shared" si="2"/>
        <v>15</v>
      </c>
      <c r="I14" s="72">
        <f t="shared" si="3"/>
        <v>0.7641365257259297</v>
      </c>
      <c r="J14" s="45">
        <f t="shared" si="4"/>
        <v>9</v>
      </c>
      <c r="K14" s="72">
        <f t="shared" si="5"/>
        <v>60</v>
      </c>
      <c r="L14" s="43">
        <f aca="true" t="shared" si="12" ref="L14:Q14">SUM(L8,L10,L12,)</f>
        <v>5</v>
      </c>
      <c r="M14" s="43">
        <f t="shared" si="12"/>
        <v>0</v>
      </c>
      <c r="N14" s="43">
        <f t="shared" si="12"/>
        <v>3</v>
      </c>
      <c r="O14" s="43">
        <f t="shared" si="12"/>
        <v>1</v>
      </c>
      <c r="P14" s="43">
        <f t="shared" si="12"/>
        <v>6</v>
      </c>
      <c r="Q14" s="128">
        <f t="shared" si="12"/>
        <v>0</v>
      </c>
      <c r="R14" s="136">
        <f t="shared" si="7"/>
        <v>0</v>
      </c>
      <c r="S14" s="43">
        <f>SUM(S8,S10,S12,)</f>
        <v>1</v>
      </c>
      <c r="T14" s="82">
        <f t="shared" si="8"/>
        <v>0.05094243504839531</v>
      </c>
      <c r="U14" s="77">
        <f t="shared" si="9"/>
        <v>0</v>
      </c>
      <c r="V14" s="43">
        <f>SUM(V8,V10,V12,)</f>
        <v>982</v>
      </c>
      <c r="W14" s="61" t="e">
        <f t="shared" si="10"/>
        <v>#DIV/0!</v>
      </c>
      <c r="X14" s="128">
        <f>SUM(X8,X10,X12,)</f>
        <v>0</v>
      </c>
      <c r="Y14" s="191"/>
      <c r="Z14" s="292"/>
    </row>
    <row r="15" spans="1:26" ht="9.75" customHeight="1">
      <c r="A15" s="307" t="s">
        <v>93</v>
      </c>
      <c r="B15" s="28" t="s">
        <v>51</v>
      </c>
      <c r="C15" s="21">
        <v>195551</v>
      </c>
      <c r="D15" s="21">
        <v>108873</v>
      </c>
      <c r="E15" s="62">
        <f t="shared" si="0"/>
        <v>55.67499015602068</v>
      </c>
      <c r="F15" s="33">
        <v>11273</v>
      </c>
      <c r="G15" s="62">
        <f t="shared" si="1"/>
        <v>10.35426597962764</v>
      </c>
      <c r="H15" s="18">
        <f t="shared" si="2"/>
        <v>84</v>
      </c>
      <c r="I15" s="73">
        <f t="shared" si="3"/>
        <v>0.745143262663</v>
      </c>
      <c r="J15" s="18">
        <f t="shared" si="4"/>
        <v>69</v>
      </c>
      <c r="K15" s="73">
        <f t="shared" si="5"/>
        <v>82.14285714285714</v>
      </c>
      <c r="L15" s="18">
        <v>29</v>
      </c>
      <c r="M15" s="18">
        <v>7</v>
      </c>
      <c r="N15" s="18">
        <v>7</v>
      </c>
      <c r="O15" s="18">
        <v>26</v>
      </c>
      <c r="P15" s="18">
        <v>3</v>
      </c>
      <c r="Q15" s="129">
        <v>12</v>
      </c>
      <c r="R15" s="137">
        <f t="shared" si="7"/>
        <v>0.06209527188858334</v>
      </c>
      <c r="S15" s="186">
        <v>2</v>
      </c>
      <c r="T15" s="83">
        <f t="shared" si="8"/>
        <v>0.017741506253880955</v>
      </c>
      <c r="U15" s="73">
        <f t="shared" si="9"/>
        <v>10.144927536231885</v>
      </c>
      <c r="V15" s="18">
        <v>4450</v>
      </c>
      <c r="W15" s="62">
        <f t="shared" si="10"/>
        <v>18.221696147232844</v>
      </c>
      <c r="X15" s="278">
        <v>5449</v>
      </c>
      <c r="Y15" s="286">
        <v>9669</v>
      </c>
      <c r="Z15" s="293">
        <f>(F15+Y15-X15)/D15*100</f>
        <v>14.230341774360951</v>
      </c>
    </row>
    <row r="16" spans="1:26" ht="9.75" customHeight="1" thickBot="1">
      <c r="A16" s="307"/>
      <c r="B16" s="27" t="s">
        <v>52</v>
      </c>
      <c r="C16" s="195"/>
      <c r="D16" s="195"/>
      <c r="E16" s="199"/>
      <c r="F16" s="35">
        <v>186</v>
      </c>
      <c r="G16" s="199"/>
      <c r="H16" s="20">
        <f t="shared" si="2"/>
        <v>2</v>
      </c>
      <c r="I16" s="75">
        <f t="shared" si="3"/>
        <v>1.0752688172043012</v>
      </c>
      <c r="J16" s="20">
        <f t="shared" si="4"/>
        <v>2</v>
      </c>
      <c r="K16" s="75">
        <f t="shared" si="5"/>
        <v>100</v>
      </c>
      <c r="L16" s="20">
        <v>1</v>
      </c>
      <c r="M16" s="20">
        <v>1</v>
      </c>
      <c r="N16" s="20">
        <v>0</v>
      </c>
      <c r="O16" s="20">
        <v>0</v>
      </c>
      <c r="P16" s="20">
        <v>0</v>
      </c>
      <c r="Q16" s="131">
        <v>0</v>
      </c>
      <c r="R16" s="139">
        <f t="shared" si="7"/>
        <v>0.5376344086021506</v>
      </c>
      <c r="S16" s="188">
        <v>0</v>
      </c>
      <c r="T16" s="84">
        <f t="shared" si="8"/>
        <v>0</v>
      </c>
      <c r="U16" s="75">
        <f t="shared" si="9"/>
        <v>50</v>
      </c>
      <c r="V16" s="20">
        <v>94</v>
      </c>
      <c r="W16" s="64" t="e">
        <f t="shared" si="10"/>
        <v>#DIV/0!</v>
      </c>
      <c r="X16" s="280"/>
      <c r="Y16" s="284"/>
      <c r="Z16" s="295"/>
    </row>
    <row r="17" spans="1:26" ht="9.75" customHeight="1">
      <c r="A17" s="311" t="s">
        <v>40</v>
      </c>
      <c r="B17" s="46" t="s">
        <v>51</v>
      </c>
      <c r="C17" s="47">
        <f>C15</f>
        <v>195551</v>
      </c>
      <c r="D17" s="47">
        <f>D15</f>
        <v>108873</v>
      </c>
      <c r="E17" s="65">
        <f t="shared" si="0"/>
        <v>55.67499015602068</v>
      </c>
      <c r="F17" s="48">
        <f>F15</f>
        <v>11273</v>
      </c>
      <c r="G17" s="123">
        <f t="shared" si="1"/>
        <v>10.35426597962764</v>
      </c>
      <c r="H17" s="124">
        <f t="shared" si="2"/>
        <v>84</v>
      </c>
      <c r="I17" s="125">
        <f t="shared" si="3"/>
        <v>0.745143262663</v>
      </c>
      <c r="J17" s="126">
        <f t="shared" si="4"/>
        <v>69</v>
      </c>
      <c r="K17" s="125">
        <f t="shared" si="5"/>
        <v>82.14285714285714</v>
      </c>
      <c r="L17" s="47">
        <f aca="true" t="shared" si="13" ref="L17:Q18">L15</f>
        <v>29</v>
      </c>
      <c r="M17" s="47">
        <f t="shared" si="13"/>
        <v>7</v>
      </c>
      <c r="N17" s="47">
        <f t="shared" si="13"/>
        <v>7</v>
      </c>
      <c r="O17" s="47">
        <f t="shared" si="13"/>
        <v>26</v>
      </c>
      <c r="P17" s="47">
        <f t="shared" si="13"/>
        <v>3</v>
      </c>
      <c r="Q17" s="132">
        <f t="shared" si="13"/>
        <v>12</v>
      </c>
      <c r="R17" s="135">
        <f t="shared" si="7"/>
        <v>0.06209527188858334</v>
      </c>
      <c r="S17" s="189">
        <f>S15</f>
        <v>2</v>
      </c>
      <c r="T17" s="85">
        <f t="shared" si="8"/>
        <v>0.017741506253880955</v>
      </c>
      <c r="U17" s="76">
        <f t="shared" si="9"/>
        <v>10.144927536231885</v>
      </c>
      <c r="V17" s="47">
        <f>V15</f>
        <v>4450</v>
      </c>
      <c r="W17" s="65">
        <f t="shared" si="10"/>
        <v>18.221696147232844</v>
      </c>
      <c r="X17" s="281">
        <f>X15</f>
        <v>5449</v>
      </c>
      <c r="Y17" s="281">
        <f>Y15</f>
        <v>9669</v>
      </c>
      <c r="Z17" s="291">
        <f>(F17+Y17-X17)/D17*100</f>
        <v>14.230341774360951</v>
      </c>
    </row>
    <row r="18" spans="1:26" ht="9.75" customHeight="1" thickBot="1">
      <c r="A18" s="312"/>
      <c r="B18" s="42" t="s">
        <v>52</v>
      </c>
      <c r="C18" s="192"/>
      <c r="D18" s="192"/>
      <c r="E18" s="197"/>
      <c r="F18" s="49">
        <f>F16</f>
        <v>186</v>
      </c>
      <c r="G18" s="216"/>
      <c r="H18" s="44">
        <f t="shared" si="2"/>
        <v>2</v>
      </c>
      <c r="I18" s="72">
        <f t="shared" si="3"/>
        <v>1.0752688172043012</v>
      </c>
      <c r="J18" s="45">
        <f t="shared" si="4"/>
        <v>2</v>
      </c>
      <c r="K18" s="72">
        <f t="shared" si="5"/>
        <v>100</v>
      </c>
      <c r="L18" s="43">
        <f t="shared" si="13"/>
        <v>1</v>
      </c>
      <c r="M18" s="43">
        <f t="shared" si="13"/>
        <v>1</v>
      </c>
      <c r="N18" s="43">
        <f t="shared" si="13"/>
        <v>0</v>
      </c>
      <c r="O18" s="43">
        <f t="shared" si="13"/>
        <v>0</v>
      </c>
      <c r="P18" s="43">
        <f t="shared" si="13"/>
        <v>0</v>
      </c>
      <c r="Q18" s="128">
        <f t="shared" si="13"/>
        <v>0</v>
      </c>
      <c r="R18" s="136">
        <f t="shared" si="7"/>
        <v>0.5376344086021506</v>
      </c>
      <c r="S18" s="185">
        <f>S16</f>
        <v>0</v>
      </c>
      <c r="T18" s="82">
        <f t="shared" si="8"/>
        <v>0</v>
      </c>
      <c r="U18" s="77">
        <f t="shared" si="9"/>
        <v>50</v>
      </c>
      <c r="V18" s="43">
        <f>V16</f>
        <v>94</v>
      </c>
      <c r="W18" s="61" t="e">
        <f t="shared" si="10"/>
        <v>#DIV/0!</v>
      </c>
      <c r="X18" s="277"/>
      <c r="Y18" s="285"/>
      <c r="Z18" s="292"/>
    </row>
    <row r="19" spans="1:26" ht="9.75" customHeight="1">
      <c r="A19" s="319" t="s">
        <v>19</v>
      </c>
      <c r="B19" s="28" t="s">
        <v>51</v>
      </c>
      <c r="C19" s="21">
        <v>29339</v>
      </c>
      <c r="D19" s="21">
        <v>16220</v>
      </c>
      <c r="E19" s="62">
        <f t="shared" si="0"/>
        <v>55.28477453219265</v>
      </c>
      <c r="F19" s="33">
        <v>2738</v>
      </c>
      <c r="G19" s="62">
        <f t="shared" si="1"/>
        <v>16.88039457459926</v>
      </c>
      <c r="H19" s="18">
        <f t="shared" si="2"/>
        <v>7</v>
      </c>
      <c r="I19" s="73">
        <f t="shared" si="3"/>
        <v>0.2556610664718773</v>
      </c>
      <c r="J19" s="18">
        <f t="shared" si="4"/>
        <v>7</v>
      </c>
      <c r="K19" s="73">
        <f t="shared" si="5"/>
        <v>100</v>
      </c>
      <c r="L19" s="18">
        <v>3</v>
      </c>
      <c r="M19" s="18">
        <v>2</v>
      </c>
      <c r="N19" s="18">
        <v>0</v>
      </c>
      <c r="O19" s="18">
        <v>2</v>
      </c>
      <c r="P19" s="18">
        <v>0</v>
      </c>
      <c r="Q19" s="129">
        <v>0</v>
      </c>
      <c r="R19" s="137">
        <f t="shared" si="7"/>
        <v>0.07304601899196494</v>
      </c>
      <c r="S19" s="186">
        <v>0</v>
      </c>
      <c r="T19" s="83">
        <f aca="true" t="shared" si="14" ref="T19:T24">S19/F19*100</f>
        <v>0</v>
      </c>
      <c r="U19" s="73">
        <f t="shared" si="9"/>
        <v>28.57142857142857</v>
      </c>
      <c r="V19" s="18">
        <v>468</v>
      </c>
      <c r="W19" s="62">
        <f t="shared" si="10"/>
        <v>51.68046503434912</v>
      </c>
      <c r="X19" s="278">
        <v>1877</v>
      </c>
      <c r="Y19" s="288">
        <v>2796</v>
      </c>
      <c r="Z19" s="299">
        <f>(F19+Y19-X19)/D19*100</f>
        <v>22.546239210850803</v>
      </c>
    </row>
    <row r="20" spans="1:26" ht="9.75" customHeight="1">
      <c r="A20" s="318"/>
      <c r="B20" s="27" t="s">
        <v>52</v>
      </c>
      <c r="C20" s="183"/>
      <c r="D20" s="183"/>
      <c r="E20" s="198"/>
      <c r="F20" s="34">
        <v>0</v>
      </c>
      <c r="G20" s="198"/>
      <c r="H20" s="19">
        <f t="shared" si="2"/>
        <v>0</v>
      </c>
      <c r="I20" s="74" t="e">
        <f t="shared" si="3"/>
        <v>#DIV/0!</v>
      </c>
      <c r="J20" s="19">
        <f t="shared" si="4"/>
        <v>0</v>
      </c>
      <c r="K20" s="74" t="e">
        <f t="shared" si="5"/>
        <v>#DIV/0!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30">
        <v>0</v>
      </c>
      <c r="R20" s="138" t="e">
        <f t="shared" si="7"/>
        <v>#DIV/0!</v>
      </c>
      <c r="S20" s="187">
        <v>0</v>
      </c>
      <c r="T20" s="84" t="e">
        <f t="shared" si="14"/>
        <v>#DIV/0!</v>
      </c>
      <c r="U20" s="74" t="e">
        <f t="shared" si="9"/>
        <v>#DIV/0!</v>
      </c>
      <c r="V20" s="19">
        <v>0</v>
      </c>
      <c r="W20" s="63" t="e">
        <f t="shared" si="10"/>
        <v>#DIV/0!</v>
      </c>
      <c r="X20" s="279"/>
      <c r="Y20" s="287"/>
      <c r="Z20" s="298"/>
    </row>
    <row r="21" spans="1:26" ht="9.75" customHeight="1">
      <c r="A21" s="306" t="s">
        <v>94</v>
      </c>
      <c r="B21" s="25" t="s">
        <v>51</v>
      </c>
      <c r="C21" s="15">
        <v>17317</v>
      </c>
      <c r="D21" s="15">
        <v>9776</v>
      </c>
      <c r="E21" s="62">
        <f t="shared" si="0"/>
        <v>56.45319628111105</v>
      </c>
      <c r="F21" s="33">
        <v>2555</v>
      </c>
      <c r="G21" s="62">
        <f t="shared" si="1"/>
        <v>26.13543371522095</v>
      </c>
      <c r="H21" s="18">
        <f t="shared" si="2"/>
        <v>22</v>
      </c>
      <c r="I21" s="73">
        <f t="shared" si="3"/>
        <v>0.8610567514677104</v>
      </c>
      <c r="J21" s="18">
        <f t="shared" si="4"/>
        <v>20</v>
      </c>
      <c r="K21" s="73">
        <f t="shared" si="5"/>
        <v>90.9090909090909</v>
      </c>
      <c r="L21" s="18">
        <v>11</v>
      </c>
      <c r="M21" s="18">
        <v>0</v>
      </c>
      <c r="N21" s="18">
        <v>0</v>
      </c>
      <c r="O21" s="18">
        <v>9</v>
      </c>
      <c r="P21" s="18">
        <v>2</v>
      </c>
      <c r="Q21" s="129">
        <v>0</v>
      </c>
      <c r="R21" s="137">
        <f t="shared" si="7"/>
        <v>0</v>
      </c>
      <c r="S21" s="186">
        <v>0</v>
      </c>
      <c r="T21" s="83">
        <f t="shared" si="14"/>
        <v>0</v>
      </c>
      <c r="U21" s="73">
        <f t="shared" si="9"/>
        <v>0</v>
      </c>
      <c r="V21" s="18">
        <v>287</v>
      </c>
      <c r="W21" s="62">
        <f t="shared" si="10"/>
        <v>0</v>
      </c>
      <c r="X21" s="278">
        <v>1817</v>
      </c>
      <c r="Y21" s="288">
        <v>2458</v>
      </c>
      <c r="Z21" s="299">
        <f>(F21+Y21-X21)/D21*100</f>
        <v>32.69230769230769</v>
      </c>
    </row>
    <row r="22" spans="1:26" ht="9.75" customHeight="1">
      <c r="A22" s="308"/>
      <c r="B22" s="28" t="s">
        <v>52</v>
      </c>
      <c r="C22" s="193"/>
      <c r="D22" s="193"/>
      <c r="E22" s="198"/>
      <c r="F22" s="34">
        <v>0</v>
      </c>
      <c r="G22" s="198"/>
      <c r="H22" s="19">
        <f t="shared" si="2"/>
        <v>0</v>
      </c>
      <c r="I22" s="74" t="e">
        <f t="shared" si="3"/>
        <v>#DIV/0!</v>
      </c>
      <c r="J22" s="19">
        <f t="shared" si="4"/>
        <v>0</v>
      </c>
      <c r="K22" s="74" t="e">
        <f t="shared" si="5"/>
        <v>#DIV/0!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30">
        <v>0</v>
      </c>
      <c r="R22" s="138" t="e">
        <f t="shared" si="7"/>
        <v>#DIV/0!</v>
      </c>
      <c r="S22" s="187">
        <v>0</v>
      </c>
      <c r="T22" s="84" t="e">
        <f t="shared" si="14"/>
        <v>#DIV/0!</v>
      </c>
      <c r="U22" s="74" t="e">
        <f t="shared" si="9"/>
        <v>#DIV/0!</v>
      </c>
      <c r="V22" s="19">
        <v>0</v>
      </c>
      <c r="W22" s="63" t="e">
        <f t="shared" si="10"/>
        <v>#DIV/0!</v>
      </c>
      <c r="X22" s="279"/>
      <c r="Y22" s="287"/>
      <c r="Z22" s="298"/>
    </row>
    <row r="23" spans="1:26" ht="9.75" customHeight="1">
      <c r="A23" s="306" t="s">
        <v>95</v>
      </c>
      <c r="B23" s="26" t="s">
        <v>51</v>
      </c>
      <c r="C23" s="18">
        <v>6151</v>
      </c>
      <c r="D23" s="18">
        <v>3716</v>
      </c>
      <c r="E23" s="62">
        <f t="shared" si="0"/>
        <v>60.41294098520565</v>
      </c>
      <c r="F23" s="33">
        <v>486</v>
      </c>
      <c r="G23" s="62">
        <f t="shared" si="1"/>
        <v>13.078579117330463</v>
      </c>
      <c r="H23" s="18">
        <f t="shared" si="2"/>
        <v>0</v>
      </c>
      <c r="I23" s="73">
        <f t="shared" si="3"/>
        <v>0</v>
      </c>
      <c r="J23" s="18">
        <f t="shared" si="4"/>
        <v>0</v>
      </c>
      <c r="K23" s="73" t="e">
        <f t="shared" si="5"/>
        <v>#DIV/0!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29">
        <v>0</v>
      </c>
      <c r="R23" s="137">
        <f t="shared" si="7"/>
        <v>0</v>
      </c>
      <c r="S23" s="186">
        <v>0</v>
      </c>
      <c r="T23" s="83">
        <f t="shared" si="14"/>
        <v>0</v>
      </c>
      <c r="U23" s="73" t="e">
        <f t="shared" si="9"/>
        <v>#DIV/0!</v>
      </c>
      <c r="V23" s="18">
        <v>44</v>
      </c>
      <c r="W23" s="62" t="e">
        <f t="shared" si="10"/>
        <v>#DIV/0!</v>
      </c>
      <c r="X23" s="278">
        <v>387</v>
      </c>
      <c r="Y23" s="288">
        <v>614</v>
      </c>
      <c r="Z23" s="299">
        <f>(F23+Y23-X23)/D23*100</f>
        <v>19.18729817007535</v>
      </c>
    </row>
    <row r="24" spans="1:26" ht="9.75" customHeight="1" thickBot="1">
      <c r="A24" s="307"/>
      <c r="B24" s="27" t="s">
        <v>52</v>
      </c>
      <c r="C24" s="195"/>
      <c r="D24" s="195"/>
      <c r="E24" s="199"/>
      <c r="F24" s="35">
        <v>0</v>
      </c>
      <c r="G24" s="199"/>
      <c r="H24" s="20">
        <f t="shared" si="2"/>
        <v>0</v>
      </c>
      <c r="I24" s="75" t="e">
        <f t="shared" si="3"/>
        <v>#DIV/0!</v>
      </c>
      <c r="J24" s="20">
        <f t="shared" si="4"/>
        <v>0</v>
      </c>
      <c r="K24" s="75" t="e">
        <f t="shared" si="5"/>
        <v>#DIV/0!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131">
        <v>0</v>
      </c>
      <c r="R24" s="139" t="e">
        <f t="shared" si="7"/>
        <v>#DIV/0!</v>
      </c>
      <c r="S24" s="188">
        <v>0</v>
      </c>
      <c r="T24" s="84" t="e">
        <f t="shared" si="14"/>
        <v>#DIV/0!</v>
      </c>
      <c r="U24" s="75" t="e">
        <f t="shared" si="9"/>
        <v>#DIV/0!</v>
      </c>
      <c r="V24" s="20">
        <v>0</v>
      </c>
      <c r="W24" s="64" t="e">
        <f t="shared" si="10"/>
        <v>#DIV/0!</v>
      </c>
      <c r="X24" s="280"/>
      <c r="Y24" s="287"/>
      <c r="Z24" s="298"/>
    </row>
    <row r="25" spans="1:26" ht="9.75" customHeight="1">
      <c r="A25" s="311" t="s">
        <v>41</v>
      </c>
      <c r="B25" s="50" t="s">
        <v>51</v>
      </c>
      <c r="C25" s="51">
        <f>SUM(C19,C21,C23)</f>
        <v>52807</v>
      </c>
      <c r="D25" s="51">
        <f>SUM(D19,D21,D23)</f>
        <v>29712</v>
      </c>
      <c r="E25" s="65">
        <f t="shared" si="0"/>
        <v>56.26526786221524</v>
      </c>
      <c r="F25" s="52">
        <f>SUM(F19,F21,F23)</f>
        <v>5779</v>
      </c>
      <c r="G25" s="123">
        <f t="shared" si="1"/>
        <v>19.450053850296175</v>
      </c>
      <c r="H25" s="124">
        <f t="shared" si="2"/>
        <v>29</v>
      </c>
      <c r="I25" s="125">
        <f t="shared" si="3"/>
        <v>0.501816923343139</v>
      </c>
      <c r="J25" s="126">
        <f t="shared" si="4"/>
        <v>27</v>
      </c>
      <c r="K25" s="125">
        <f t="shared" si="5"/>
        <v>93.10344827586206</v>
      </c>
      <c r="L25" s="51">
        <f aca="true" t="shared" si="15" ref="L25:Q26">SUM(L19,L21,L23)</f>
        <v>14</v>
      </c>
      <c r="M25" s="51">
        <f t="shared" si="15"/>
        <v>2</v>
      </c>
      <c r="N25" s="51">
        <f t="shared" si="15"/>
        <v>0</v>
      </c>
      <c r="O25" s="51">
        <f t="shared" si="15"/>
        <v>11</v>
      </c>
      <c r="P25" s="51">
        <f t="shared" si="15"/>
        <v>2</v>
      </c>
      <c r="Q25" s="133">
        <f t="shared" si="15"/>
        <v>0</v>
      </c>
      <c r="R25" s="135">
        <f t="shared" si="7"/>
        <v>0.03460806367883717</v>
      </c>
      <c r="S25" s="190">
        <f>SUM(S19,S21,S23)</f>
        <v>0</v>
      </c>
      <c r="T25" s="85">
        <f>S25/F25*100</f>
        <v>0</v>
      </c>
      <c r="U25" s="76">
        <f t="shared" si="9"/>
        <v>7.4074074074074066</v>
      </c>
      <c r="V25" s="51">
        <f>SUM(V19,V21,V23)</f>
        <v>799</v>
      </c>
      <c r="W25" s="65">
        <f t="shared" si="10"/>
        <v>13.165150880552062</v>
      </c>
      <c r="X25" s="282">
        <f>SUM(X19,X21,X23)</f>
        <v>4081</v>
      </c>
      <c r="Y25" s="282">
        <f>SUM(Y19,Y21,Y23)</f>
        <v>5868</v>
      </c>
      <c r="Z25" s="291">
        <f>(F25+Y25-X25)/D25*100</f>
        <v>25.464458804523428</v>
      </c>
    </row>
    <row r="26" spans="1:26" ht="9.75" customHeight="1" thickBot="1">
      <c r="A26" s="312"/>
      <c r="B26" s="53" t="s">
        <v>52</v>
      </c>
      <c r="C26" s="196"/>
      <c r="D26" s="196"/>
      <c r="E26" s="197"/>
      <c r="F26" s="55">
        <f>SUM(F20,F22,F24)</f>
        <v>0</v>
      </c>
      <c r="G26" s="216"/>
      <c r="H26" s="44">
        <f t="shared" si="2"/>
        <v>0</v>
      </c>
      <c r="I26" s="72" t="e">
        <f t="shared" si="3"/>
        <v>#DIV/0!</v>
      </c>
      <c r="J26" s="45">
        <f t="shared" si="4"/>
        <v>0</v>
      </c>
      <c r="K26" s="72" t="e">
        <f t="shared" si="5"/>
        <v>#DIV/0!</v>
      </c>
      <c r="L26" s="54">
        <f t="shared" si="15"/>
        <v>0</v>
      </c>
      <c r="M26" s="54">
        <f t="shared" si="15"/>
        <v>0</v>
      </c>
      <c r="N26" s="54">
        <f t="shared" si="15"/>
        <v>0</v>
      </c>
      <c r="O26" s="54">
        <f t="shared" si="15"/>
        <v>0</v>
      </c>
      <c r="P26" s="54">
        <f t="shared" si="15"/>
        <v>0</v>
      </c>
      <c r="Q26" s="134">
        <f t="shared" si="15"/>
        <v>0</v>
      </c>
      <c r="R26" s="136" t="e">
        <f t="shared" si="7"/>
        <v>#DIV/0!</v>
      </c>
      <c r="S26" s="191">
        <f>SUM(S20,S22,S24)</f>
        <v>0</v>
      </c>
      <c r="T26" s="82" t="e">
        <f>S26/F26*100</f>
        <v>#DIV/0!</v>
      </c>
      <c r="U26" s="77" t="e">
        <f t="shared" si="9"/>
        <v>#DIV/0!</v>
      </c>
      <c r="V26" s="54">
        <f>SUM(V20,V22,V24)</f>
        <v>0</v>
      </c>
      <c r="W26" s="61" t="e">
        <f t="shared" si="10"/>
        <v>#DIV/0!</v>
      </c>
      <c r="X26" s="283"/>
      <c r="Y26" s="285"/>
      <c r="Z26" s="292"/>
    </row>
    <row r="27" spans="1:26" ht="9.75" customHeight="1">
      <c r="A27" s="319" t="s">
        <v>20</v>
      </c>
      <c r="B27" s="29" t="s">
        <v>51</v>
      </c>
      <c r="C27" s="22">
        <v>17590</v>
      </c>
      <c r="D27" s="22">
        <v>9977</v>
      </c>
      <c r="E27" s="62">
        <f t="shared" si="0"/>
        <v>56.7197271176805</v>
      </c>
      <c r="F27" s="33">
        <v>1712</v>
      </c>
      <c r="G27" s="62">
        <f t="shared" si="1"/>
        <v>17.159466773579233</v>
      </c>
      <c r="H27" s="18">
        <f t="shared" si="2"/>
        <v>11</v>
      </c>
      <c r="I27" s="73">
        <f t="shared" si="3"/>
        <v>0.6425233644859812</v>
      </c>
      <c r="J27" s="18">
        <f t="shared" si="4"/>
        <v>11</v>
      </c>
      <c r="K27" s="73">
        <f t="shared" si="5"/>
        <v>100</v>
      </c>
      <c r="L27" s="18">
        <v>4</v>
      </c>
      <c r="M27" s="18">
        <v>1</v>
      </c>
      <c r="N27" s="18">
        <v>0</v>
      </c>
      <c r="O27" s="18">
        <v>6</v>
      </c>
      <c r="P27" s="18">
        <v>0</v>
      </c>
      <c r="Q27" s="129">
        <v>0</v>
      </c>
      <c r="R27" s="137">
        <f t="shared" si="7"/>
        <v>0.05841121495327102</v>
      </c>
      <c r="S27" s="186">
        <v>1</v>
      </c>
      <c r="T27" s="83">
        <f aca="true" t="shared" si="16" ref="T27:T32">S27/F27*100</f>
        <v>0.05841121495327102</v>
      </c>
      <c r="U27" s="73">
        <f t="shared" si="9"/>
        <v>9.090909090909092</v>
      </c>
      <c r="V27" s="18">
        <v>239</v>
      </c>
      <c r="W27" s="62">
        <f t="shared" si="10"/>
        <v>16.02777296873719</v>
      </c>
      <c r="X27" s="278">
        <v>1211</v>
      </c>
      <c r="Y27" s="288">
        <v>1711</v>
      </c>
      <c r="Z27" s="299">
        <f>(F27+Y27-X27)/D27*100</f>
        <v>22.170993284554473</v>
      </c>
    </row>
    <row r="28" spans="1:26" ht="9.75" customHeight="1">
      <c r="A28" s="318"/>
      <c r="B28" s="28" t="s">
        <v>52</v>
      </c>
      <c r="C28" s="193"/>
      <c r="D28" s="193"/>
      <c r="E28" s="198"/>
      <c r="F28" s="34">
        <v>86</v>
      </c>
      <c r="G28" s="198"/>
      <c r="H28" s="19">
        <f t="shared" si="2"/>
        <v>5</v>
      </c>
      <c r="I28" s="74">
        <f t="shared" si="3"/>
        <v>5.813953488372093</v>
      </c>
      <c r="J28" s="19">
        <f t="shared" si="4"/>
        <v>5</v>
      </c>
      <c r="K28" s="74">
        <f t="shared" si="5"/>
        <v>100</v>
      </c>
      <c r="L28" s="19">
        <v>0</v>
      </c>
      <c r="M28" s="19">
        <v>0</v>
      </c>
      <c r="N28" s="19">
        <v>0</v>
      </c>
      <c r="O28" s="19">
        <v>5</v>
      </c>
      <c r="P28" s="19">
        <v>0</v>
      </c>
      <c r="Q28" s="130">
        <v>0</v>
      </c>
      <c r="R28" s="138">
        <f t="shared" si="7"/>
        <v>0</v>
      </c>
      <c r="S28" s="187">
        <v>0</v>
      </c>
      <c r="T28" s="84">
        <f>S28/F28*100</f>
        <v>0</v>
      </c>
      <c r="U28" s="74">
        <f t="shared" si="9"/>
        <v>0</v>
      </c>
      <c r="V28" s="19">
        <v>15</v>
      </c>
      <c r="W28" s="63" t="e">
        <f t="shared" si="10"/>
        <v>#DIV/0!</v>
      </c>
      <c r="X28" s="279"/>
      <c r="Y28" s="287"/>
      <c r="Z28" s="298"/>
    </row>
    <row r="29" spans="1:26" ht="9.75" customHeight="1">
      <c r="A29" s="306" t="s">
        <v>96</v>
      </c>
      <c r="B29" s="26" t="s">
        <v>51</v>
      </c>
      <c r="C29" s="18">
        <v>19432</v>
      </c>
      <c r="D29" s="18">
        <v>5100</v>
      </c>
      <c r="E29" s="62">
        <f t="shared" si="0"/>
        <v>26.245368464388637</v>
      </c>
      <c r="F29" s="33">
        <v>1967</v>
      </c>
      <c r="G29" s="62">
        <f t="shared" si="1"/>
        <v>38.568627450980394</v>
      </c>
      <c r="H29" s="18">
        <f t="shared" si="2"/>
        <v>13</v>
      </c>
      <c r="I29" s="73">
        <f t="shared" si="3"/>
        <v>0.6609049313675649</v>
      </c>
      <c r="J29" s="18">
        <f t="shared" si="4"/>
        <v>13</v>
      </c>
      <c r="K29" s="73">
        <f t="shared" si="5"/>
        <v>100</v>
      </c>
      <c r="L29" s="18">
        <v>5</v>
      </c>
      <c r="M29" s="18">
        <v>4</v>
      </c>
      <c r="N29" s="18">
        <v>1</v>
      </c>
      <c r="O29" s="18">
        <v>3</v>
      </c>
      <c r="P29" s="18">
        <v>0</v>
      </c>
      <c r="Q29" s="129">
        <v>0</v>
      </c>
      <c r="R29" s="137">
        <f t="shared" si="7"/>
        <v>0.20335536349771224</v>
      </c>
      <c r="S29" s="186">
        <v>3</v>
      </c>
      <c r="T29" s="83">
        <f t="shared" si="16"/>
        <v>0.1525165226232842</v>
      </c>
      <c r="U29" s="73">
        <f t="shared" si="9"/>
        <v>30.76923076923077</v>
      </c>
      <c r="V29" s="18">
        <v>197</v>
      </c>
      <c r="W29" s="62">
        <f t="shared" si="10"/>
        <v>117.23680241327301</v>
      </c>
      <c r="X29" s="278">
        <v>1362</v>
      </c>
      <c r="Y29" s="288">
        <v>1857</v>
      </c>
      <c r="Z29" s="299">
        <f>(F29+Y29-X29)/D29*100</f>
        <v>48.27450980392157</v>
      </c>
    </row>
    <row r="30" spans="1:26" ht="9.75" customHeight="1">
      <c r="A30" s="308"/>
      <c r="B30" s="30" t="s">
        <v>52</v>
      </c>
      <c r="C30" s="183"/>
      <c r="D30" s="183"/>
      <c r="E30" s="198"/>
      <c r="F30" s="34">
        <v>0</v>
      </c>
      <c r="G30" s="198"/>
      <c r="H30" s="19">
        <f t="shared" si="2"/>
        <v>0</v>
      </c>
      <c r="I30" s="74" t="e">
        <f t="shared" si="3"/>
        <v>#DIV/0!</v>
      </c>
      <c r="J30" s="19">
        <f t="shared" si="4"/>
        <v>0</v>
      </c>
      <c r="K30" s="74" t="e">
        <f t="shared" si="5"/>
        <v>#DIV/0!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30">
        <v>0</v>
      </c>
      <c r="R30" s="138" t="e">
        <f>M30/F30*100</f>
        <v>#DIV/0!</v>
      </c>
      <c r="S30" s="187">
        <v>0</v>
      </c>
      <c r="T30" s="84" t="e">
        <f>S30/F30*100</f>
        <v>#DIV/0!</v>
      </c>
      <c r="U30" s="74" t="e">
        <f t="shared" si="9"/>
        <v>#DIV/0!</v>
      </c>
      <c r="V30" s="19">
        <v>0</v>
      </c>
      <c r="W30" s="63" t="e">
        <f t="shared" si="10"/>
        <v>#DIV/0!</v>
      </c>
      <c r="X30" s="279"/>
      <c r="Y30" s="287"/>
      <c r="Z30" s="298"/>
    </row>
    <row r="31" spans="1:26" ht="9.75" customHeight="1">
      <c r="A31" s="317" t="s">
        <v>21</v>
      </c>
      <c r="B31" s="26" t="s">
        <v>51</v>
      </c>
      <c r="C31" s="18">
        <v>7136</v>
      </c>
      <c r="D31" s="18">
        <v>4045</v>
      </c>
      <c r="E31" s="62">
        <f t="shared" si="0"/>
        <v>56.684417040358746</v>
      </c>
      <c r="F31" s="33">
        <v>746</v>
      </c>
      <c r="G31" s="62">
        <f t="shared" si="1"/>
        <v>18.442521631644006</v>
      </c>
      <c r="H31" s="18">
        <f t="shared" si="2"/>
        <v>0</v>
      </c>
      <c r="I31" s="73">
        <f t="shared" si="3"/>
        <v>0</v>
      </c>
      <c r="J31" s="18">
        <f t="shared" si="4"/>
        <v>0</v>
      </c>
      <c r="K31" s="73" t="e">
        <f t="shared" si="5"/>
        <v>#DIV/0!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29">
        <v>0</v>
      </c>
      <c r="R31" s="137">
        <f t="shared" si="7"/>
        <v>0</v>
      </c>
      <c r="S31" s="186">
        <v>0</v>
      </c>
      <c r="T31" s="83">
        <f t="shared" si="16"/>
        <v>0</v>
      </c>
      <c r="U31" s="73" t="e">
        <f t="shared" si="9"/>
        <v>#DIV/0!</v>
      </c>
      <c r="V31" s="18">
        <v>109</v>
      </c>
      <c r="W31" s="62" t="e">
        <f t="shared" si="10"/>
        <v>#DIV/0!</v>
      </c>
      <c r="X31" s="278">
        <v>540</v>
      </c>
      <c r="Y31" s="288">
        <v>736</v>
      </c>
      <c r="Z31" s="299">
        <f>(F31+Y31-X31)/D31*100</f>
        <v>23.288009888751546</v>
      </c>
    </row>
    <row r="32" spans="1:26" ht="9.75" customHeight="1" thickBot="1">
      <c r="A32" s="319"/>
      <c r="B32" s="27" t="s">
        <v>52</v>
      </c>
      <c r="C32" s="195"/>
      <c r="D32" s="195"/>
      <c r="E32" s="198"/>
      <c r="F32" s="34">
        <v>0</v>
      </c>
      <c r="G32" s="198"/>
      <c r="H32" s="19">
        <f t="shared" si="2"/>
        <v>0</v>
      </c>
      <c r="I32" s="74" t="e">
        <f t="shared" si="3"/>
        <v>#DIV/0!</v>
      </c>
      <c r="J32" s="19">
        <f t="shared" si="4"/>
        <v>0</v>
      </c>
      <c r="K32" s="74" t="e">
        <f t="shared" si="5"/>
        <v>#DIV/0!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30">
        <v>0</v>
      </c>
      <c r="R32" s="138" t="e">
        <f t="shared" si="7"/>
        <v>#DIV/0!</v>
      </c>
      <c r="S32" s="187">
        <v>0</v>
      </c>
      <c r="T32" s="84" t="e">
        <f t="shared" si="16"/>
        <v>#DIV/0!</v>
      </c>
      <c r="U32" s="74" t="e">
        <f t="shared" si="9"/>
        <v>#DIV/0!</v>
      </c>
      <c r="V32" s="19">
        <v>0</v>
      </c>
      <c r="W32" s="63" t="e">
        <f t="shared" si="10"/>
        <v>#DIV/0!</v>
      </c>
      <c r="X32" s="279"/>
      <c r="Y32" s="287"/>
      <c r="Z32" s="298"/>
    </row>
    <row r="33" spans="1:26" ht="9.75" customHeight="1">
      <c r="A33" s="311" t="s">
        <v>42</v>
      </c>
      <c r="B33" s="46" t="s">
        <v>51</v>
      </c>
      <c r="C33" s="47">
        <f>SUM(C27,C29,C31)</f>
        <v>44158</v>
      </c>
      <c r="D33" s="47">
        <f>SUM(D27,D29,D31)</f>
        <v>19122</v>
      </c>
      <c r="E33" s="65">
        <f t="shared" si="0"/>
        <v>43.30359164817247</v>
      </c>
      <c r="F33" s="48">
        <f>SUM(F27,F29,F31)</f>
        <v>4425</v>
      </c>
      <c r="G33" s="123">
        <f t="shared" si="1"/>
        <v>23.14088484468152</v>
      </c>
      <c r="H33" s="124">
        <f t="shared" si="2"/>
        <v>24</v>
      </c>
      <c r="I33" s="125">
        <f t="shared" si="3"/>
        <v>0.5423728813559322</v>
      </c>
      <c r="J33" s="126">
        <f t="shared" si="4"/>
        <v>24</v>
      </c>
      <c r="K33" s="125">
        <f t="shared" si="5"/>
        <v>100</v>
      </c>
      <c r="L33" s="47">
        <f aca="true" t="shared" si="17" ref="L33:Q34">SUM(L27,L29,L31)</f>
        <v>9</v>
      </c>
      <c r="M33" s="47">
        <f t="shared" si="17"/>
        <v>5</v>
      </c>
      <c r="N33" s="47">
        <f t="shared" si="17"/>
        <v>1</v>
      </c>
      <c r="O33" s="47">
        <f t="shared" si="17"/>
        <v>9</v>
      </c>
      <c r="P33" s="47">
        <f t="shared" si="17"/>
        <v>0</v>
      </c>
      <c r="Q33" s="132">
        <f t="shared" si="17"/>
        <v>0</v>
      </c>
      <c r="R33" s="135">
        <f t="shared" si="7"/>
        <v>0.11299435028248588</v>
      </c>
      <c r="S33" s="189">
        <f>SUM(S27,S29,S31)</f>
        <v>4</v>
      </c>
      <c r="T33" s="85">
        <f aca="true" t="shared" si="18" ref="T33:T40">S33/F33*100</f>
        <v>0.0903954802259887</v>
      </c>
      <c r="U33" s="76">
        <f t="shared" si="9"/>
        <v>20.833333333333336</v>
      </c>
      <c r="V33" s="47">
        <f>SUM(V27,V29,V31)</f>
        <v>545</v>
      </c>
      <c r="W33" s="65">
        <f t="shared" si="10"/>
        <v>48.109943171913685</v>
      </c>
      <c r="X33" s="281">
        <f>SUM(X27,X29,X31)</f>
        <v>3113</v>
      </c>
      <c r="Y33" s="281">
        <f>SUM(Y27,Y29,Y31)</f>
        <v>4304</v>
      </c>
      <c r="Z33" s="291">
        <f>(F33+Y33-X33)/D33*100</f>
        <v>29.36931283338563</v>
      </c>
    </row>
    <row r="34" spans="1:26" ht="9.75" customHeight="1" thickBot="1">
      <c r="A34" s="312"/>
      <c r="B34" s="42" t="s">
        <v>52</v>
      </c>
      <c r="C34" s="192"/>
      <c r="D34" s="192"/>
      <c r="E34" s="197"/>
      <c r="F34" s="49">
        <f>SUM(F28,F30,F32)</f>
        <v>86</v>
      </c>
      <c r="G34" s="216"/>
      <c r="H34" s="44">
        <f t="shared" si="2"/>
        <v>5</v>
      </c>
      <c r="I34" s="72">
        <f t="shared" si="3"/>
        <v>5.813953488372093</v>
      </c>
      <c r="J34" s="45">
        <f t="shared" si="4"/>
        <v>5</v>
      </c>
      <c r="K34" s="72">
        <f t="shared" si="5"/>
        <v>100</v>
      </c>
      <c r="L34" s="43">
        <f t="shared" si="17"/>
        <v>0</v>
      </c>
      <c r="M34" s="43">
        <f t="shared" si="17"/>
        <v>0</v>
      </c>
      <c r="N34" s="43">
        <f t="shared" si="17"/>
        <v>0</v>
      </c>
      <c r="O34" s="43">
        <f t="shared" si="17"/>
        <v>5</v>
      </c>
      <c r="P34" s="43">
        <f t="shared" si="17"/>
        <v>0</v>
      </c>
      <c r="Q34" s="128">
        <f t="shared" si="17"/>
        <v>0</v>
      </c>
      <c r="R34" s="136">
        <f t="shared" si="7"/>
        <v>0</v>
      </c>
      <c r="S34" s="185">
        <f>SUM(S28,S30,S32)</f>
        <v>0</v>
      </c>
      <c r="T34" s="82">
        <f t="shared" si="18"/>
        <v>0</v>
      </c>
      <c r="U34" s="77">
        <f t="shared" si="9"/>
        <v>0</v>
      </c>
      <c r="V34" s="43">
        <f>SUM(V28,V30,V32)</f>
        <v>15</v>
      </c>
      <c r="W34" s="61" t="e">
        <f t="shared" si="10"/>
        <v>#DIV/0!</v>
      </c>
      <c r="X34" s="277"/>
      <c r="Y34" s="285"/>
      <c r="Z34" s="292"/>
    </row>
    <row r="35" spans="1:26" ht="9.75" customHeight="1">
      <c r="A35" s="319" t="s">
        <v>22</v>
      </c>
      <c r="B35" s="28" t="s">
        <v>51</v>
      </c>
      <c r="C35" s="21">
        <v>27895</v>
      </c>
      <c r="D35" s="21">
        <v>15095</v>
      </c>
      <c r="E35" s="62">
        <f t="shared" si="0"/>
        <v>54.11364043735436</v>
      </c>
      <c r="F35" s="33">
        <v>1609</v>
      </c>
      <c r="G35" s="62">
        <f t="shared" si="1"/>
        <v>10.659158661808545</v>
      </c>
      <c r="H35" s="18">
        <f t="shared" si="2"/>
        <v>5</v>
      </c>
      <c r="I35" s="73">
        <f t="shared" si="3"/>
        <v>0.3107520198881293</v>
      </c>
      <c r="J35" s="18">
        <f t="shared" si="4"/>
        <v>4</v>
      </c>
      <c r="K35" s="73">
        <f t="shared" si="5"/>
        <v>80</v>
      </c>
      <c r="L35" s="18">
        <v>2</v>
      </c>
      <c r="M35" s="18">
        <v>0</v>
      </c>
      <c r="N35" s="18">
        <v>0</v>
      </c>
      <c r="O35" s="18">
        <v>2</v>
      </c>
      <c r="P35" s="18">
        <v>0</v>
      </c>
      <c r="Q35" s="129">
        <v>1</v>
      </c>
      <c r="R35" s="137">
        <f t="shared" si="7"/>
        <v>0</v>
      </c>
      <c r="S35" s="186">
        <v>0</v>
      </c>
      <c r="T35" s="83">
        <f t="shared" si="18"/>
        <v>0</v>
      </c>
      <c r="U35" s="73">
        <f t="shared" si="9"/>
        <v>0</v>
      </c>
      <c r="V35" s="18">
        <v>294</v>
      </c>
      <c r="W35" s="62">
        <f t="shared" si="10"/>
        <v>0</v>
      </c>
      <c r="X35" s="278">
        <v>931</v>
      </c>
      <c r="Y35" s="288">
        <v>1493</v>
      </c>
      <c r="Z35" s="299">
        <f>(F35+Y35-X35)/D35*100</f>
        <v>14.382245776747268</v>
      </c>
    </row>
    <row r="36" spans="1:26" ht="9.75" customHeight="1">
      <c r="A36" s="318"/>
      <c r="B36" s="30" t="s">
        <v>52</v>
      </c>
      <c r="C36" s="183"/>
      <c r="D36" s="183"/>
      <c r="E36" s="198"/>
      <c r="F36" s="34">
        <v>0</v>
      </c>
      <c r="G36" s="198"/>
      <c r="H36" s="19">
        <f t="shared" si="2"/>
        <v>0</v>
      </c>
      <c r="I36" s="74" t="e">
        <f t="shared" si="3"/>
        <v>#DIV/0!</v>
      </c>
      <c r="J36" s="19">
        <f t="shared" si="4"/>
        <v>0</v>
      </c>
      <c r="K36" s="74" t="e">
        <f t="shared" si="5"/>
        <v>#DIV/0!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30">
        <v>0</v>
      </c>
      <c r="R36" s="138" t="e">
        <f t="shared" si="7"/>
        <v>#DIV/0!</v>
      </c>
      <c r="S36" s="187">
        <v>0</v>
      </c>
      <c r="T36" s="84" t="e">
        <f t="shared" si="18"/>
        <v>#DIV/0!</v>
      </c>
      <c r="U36" s="74" t="e">
        <f t="shared" si="9"/>
        <v>#DIV/0!</v>
      </c>
      <c r="V36" s="19">
        <v>0</v>
      </c>
      <c r="W36" s="63" t="e">
        <f t="shared" si="10"/>
        <v>#DIV/0!</v>
      </c>
      <c r="X36" s="279"/>
      <c r="Y36" s="287"/>
      <c r="Z36" s="298"/>
    </row>
    <row r="37" spans="1:26" ht="9.75" customHeight="1">
      <c r="A37" s="317" t="s">
        <v>23</v>
      </c>
      <c r="B37" s="25" t="s">
        <v>51</v>
      </c>
      <c r="C37" s="15">
        <v>5170</v>
      </c>
      <c r="D37" s="15">
        <v>1794</v>
      </c>
      <c r="E37" s="62">
        <f t="shared" si="0"/>
        <v>34.70019342359768</v>
      </c>
      <c r="F37" s="33">
        <v>519</v>
      </c>
      <c r="G37" s="62">
        <f t="shared" si="1"/>
        <v>28.929765886287623</v>
      </c>
      <c r="H37" s="18">
        <f t="shared" si="2"/>
        <v>1</v>
      </c>
      <c r="I37" s="73">
        <f t="shared" si="3"/>
        <v>0.1926782273603083</v>
      </c>
      <c r="J37" s="18">
        <f t="shared" si="4"/>
        <v>1</v>
      </c>
      <c r="K37" s="73">
        <f t="shared" si="5"/>
        <v>100</v>
      </c>
      <c r="L37" s="18">
        <v>0</v>
      </c>
      <c r="M37" s="18">
        <v>0</v>
      </c>
      <c r="N37" s="18">
        <v>0</v>
      </c>
      <c r="O37" s="18">
        <v>1</v>
      </c>
      <c r="P37" s="18">
        <v>0</v>
      </c>
      <c r="Q37" s="129">
        <v>0</v>
      </c>
      <c r="R37" s="137">
        <f t="shared" si="7"/>
        <v>0</v>
      </c>
      <c r="S37" s="186">
        <v>0</v>
      </c>
      <c r="T37" s="83">
        <f t="shared" si="18"/>
        <v>0</v>
      </c>
      <c r="U37" s="73">
        <f t="shared" si="9"/>
        <v>0</v>
      </c>
      <c r="V37" s="18">
        <v>86</v>
      </c>
      <c r="W37" s="62">
        <f t="shared" si="10"/>
        <v>0</v>
      </c>
      <c r="X37" s="278">
        <v>385</v>
      </c>
      <c r="Y37" s="288">
        <v>542</v>
      </c>
      <c r="Z37" s="299">
        <f>(F37+Y37-X37)/D37*100</f>
        <v>37.68115942028986</v>
      </c>
    </row>
    <row r="38" spans="1:26" ht="9.75" customHeight="1" thickBot="1">
      <c r="A38" s="319"/>
      <c r="B38" s="28" t="s">
        <v>52</v>
      </c>
      <c r="C38" s="194"/>
      <c r="D38" s="194"/>
      <c r="E38" s="198"/>
      <c r="F38" s="34">
        <v>0</v>
      </c>
      <c r="G38" s="198"/>
      <c r="H38" s="19">
        <f t="shared" si="2"/>
        <v>0</v>
      </c>
      <c r="I38" s="74" t="e">
        <f t="shared" si="3"/>
        <v>#DIV/0!</v>
      </c>
      <c r="J38" s="19">
        <f t="shared" si="4"/>
        <v>0</v>
      </c>
      <c r="K38" s="74" t="e">
        <f t="shared" si="5"/>
        <v>#DIV/0!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30">
        <v>0</v>
      </c>
      <c r="R38" s="138" t="e">
        <f t="shared" si="7"/>
        <v>#DIV/0!</v>
      </c>
      <c r="S38" s="187">
        <v>0</v>
      </c>
      <c r="T38" s="84" t="e">
        <f t="shared" si="18"/>
        <v>#DIV/0!</v>
      </c>
      <c r="U38" s="74" t="e">
        <f t="shared" si="9"/>
        <v>#DIV/0!</v>
      </c>
      <c r="V38" s="19">
        <v>0</v>
      </c>
      <c r="W38" s="63" t="e">
        <f t="shared" si="10"/>
        <v>#DIV/0!</v>
      </c>
      <c r="X38" s="279"/>
      <c r="Y38" s="287"/>
      <c r="Z38" s="298"/>
    </row>
    <row r="39" spans="1:26" ht="9.75" customHeight="1">
      <c r="A39" s="311" t="s">
        <v>43</v>
      </c>
      <c r="B39" s="50" t="s">
        <v>51</v>
      </c>
      <c r="C39" s="51">
        <f>SUM(C35,C37)</f>
        <v>33065</v>
      </c>
      <c r="D39" s="51">
        <f>SUM(D35,D37)</f>
        <v>16889</v>
      </c>
      <c r="E39" s="65">
        <f t="shared" si="0"/>
        <v>51.078179343716926</v>
      </c>
      <c r="F39" s="52">
        <f>SUM(F35,F37)</f>
        <v>2128</v>
      </c>
      <c r="G39" s="123">
        <f t="shared" si="1"/>
        <v>12.599917105808514</v>
      </c>
      <c r="H39" s="124">
        <f t="shared" si="2"/>
        <v>6</v>
      </c>
      <c r="I39" s="125">
        <f t="shared" si="3"/>
        <v>0.28195488721804507</v>
      </c>
      <c r="J39" s="126">
        <f t="shared" si="4"/>
        <v>5</v>
      </c>
      <c r="K39" s="125">
        <f t="shared" si="5"/>
        <v>83.33333333333334</v>
      </c>
      <c r="L39" s="51">
        <f aca="true" t="shared" si="19" ref="L39:Q40">SUM(L35,L37)</f>
        <v>2</v>
      </c>
      <c r="M39" s="51">
        <f t="shared" si="19"/>
        <v>0</v>
      </c>
      <c r="N39" s="51">
        <f t="shared" si="19"/>
        <v>0</v>
      </c>
      <c r="O39" s="51">
        <f t="shared" si="19"/>
        <v>3</v>
      </c>
      <c r="P39" s="51">
        <f t="shared" si="19"/>
        <v>0</v>
      </c>
      <c r="Q39" s="133">
        <f t="shared" si="19"/>
        <v>1</v>
      </c>
      <c r="R39" s="135">
        <f t="shared" si="7"/>
        <v>0</v>
      </c>
      <c r="S39" s="190">
        <f>SUM(S35,S37)</f>
        <v>0</v>
      </c>
      <c r="T39" s="85">
        <f t="shared" si="18"/>
        <v>0</v>
      </c>
      <c r="U39" s="76">
        <f t="shared" si="9"/>
        <v>0</v>
      </c>
      <c r="V39" s="51">
        <f>SUM(V35,V37)</f>
        <v>380</v>
      </c>
      <c r="W39" s="65">
        <f t="shared" si="10"/>
        <v>0</v>
      </c>
      <c r="X39" s="282">
        <f>SUM(X35,X37)</f>
        <v>1316</v>
      </c>
      <c r="Y39" s="282">
        <f>SUM(Y35,Y37)</f>
        <v>2035</v>
      </c>
      <c r="Z39" s="291">
        <f>(F39+Y39-X39)/D39*100</f>
        <v>16.85712593996092</v>
      </c>
    </row>
    <row r="40" spans="1:26" ht="9.75" customHeight="1" thickBot="1">
      <c r="A40" s="312"/>
      <c r="B40" s="53" t="s">
        <v>52</v>
      </c>
      <c r="C40" s="196"/>
      <c r="D40" s="196"/>
      <c r="E40" s="197"/>
      <c r="F40" s="55">
        <f>SUM(F36,F38)</f>
        <v>0</v>
      </c>
      <c r="G40" s="216"/>
      <c r="H40" s="44">
        <f t="shared" si="2"/>
        <v>0</v>
      </c>
      <c r="I40" s="72" t="e">
        <f t="shared" si="3"/>
        <v>#DIV/0!</v>
      </c>
      <c r="J40" s="45">
        <f t="shared" si="4"/>
        <v>0</v>
      </c>
      <c r="K40" s="72" t="e">
        <f t="shared" si="5"/>
        <v>#DIV/0!</v>
      </c>
      <c r="L40" s="54">
        <f t="shared" si="19"/>
        <v>0</v>
      </c>
      <c r="M40" s="54">
        <f t="shared" si="19"/>
        <v>0</v>
      </c>
      <c r="N40" s="54">
        <f t="shared" si="19"/>
        <v>0</v>
      </c>
      <c r="O40" s="54">
        <f t="shared" si="19"/>
        <v>0</v>
      </c>
      <c r="P40" s="54">
        <f t="shared" si="19"/>
        <v>0</v>
      </c>
      <c r="Q40" s="134">
        <f t="shared" si="19"/>
        <v>0</v>
      </c>
      <c r="R40" s="136" t="e">
        <f t="shared" si="7"/>
        <v>#DIV/0!</v>
      </c>
      <c r="S40" s="191">
        <f>SUM(S36,S38)</f>
        <v>0</v>
      </c>
      <c r="T40" s="82" t="e">
        <f t="shared" si="18"/>
        <v>#DIV/0!</v>
      </c>
      <c r="U40" s="77" t="e">
        <f t="shared" si="9"/>
        <v>#DIV/0!</v>
      </c>
      <c r="V40" s="54">
        <f>SUM(V36,V38)</f>
        <v>0</v>
      </c>
      <c r="W40" s="61" t="e">
        <f t="shared" si="10"/>
        <v>#DIV/0!</v>
      </c>
      <c r="X40" s="283"/>
      <c r="Y40" s="285"/>
      <c r="Z40" s="292"/>
    </row>
    <row r="41" spans="1:26" ht="9.75" customHeight="1">
      <c r="A41" s="319" t="s">
        <v>24</v>
      </c>
      <c r="B41" s="29" t="s">
        <v>51</v>
      </c>
      <c r="C41" s="22">
        <v>24550</v>
      </c>
      <c r="D41" s="22">
        <v>14845</v>
      </c>
      <c r="E41" s="62">
        <f t="shared" si="0"/>
        <v>60.468431771894096</v>
      </c>
      <c r="F41" s="33">
        <v>1476</v>
      </c>
      <c r="G41" s="62">
        <f t="shared" si="1"/>
        <v>9.942741663859886</v>
      </c>
      <c r="H41" s="18">
        <f t="shared" si="2"/>
        <v>0</v>
      </c>
      <c r="I41" s="73">
        <f t="shared" si="3"/>
        <v>0</v>
      </c>
      <c r="J41" s="18">
        <f t="shared" si="4"/>
        <v>0</v>
      </c>
      <c r="K41" s="73" t="e">
        <f t="shared" si="5"/>
        <v>#DIV/0!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29">
        <v>0</v>
      </c>
      <c r="R41" s="137">
        <f t="shared" si="7"/>
        <v>0</v>
      </c>
      <c r="S41" s="186">
        <v>0</v>
      </c>
      <c r="T41" s="83">
        <f aca="true" t="shared" si="20" ref="T41:T50">S41/F41*100</f>
        <v>0</v>
      </c>
      <c r="U41" s="73" t="e">
        <f t="shared" si="9"/>
        <v>#DIV/0!</v>
      </c>
      <c r="V41" s="18">
        <v>189</v>
      </c>
      <c r="W41" s="62" t="e">
        <f t="shared" si="10"/>
        <v>#DIV/0!</v>
      </c>
      <c r="X41" s="278">
        <v>840</v>
      </c>
      <c r="Y41" s="288">
        <v>1363</v>
      </c>
      <c r="Z41" s="299">
        <f>(F41+Y41-X41)/D41*100</f>
        <v>13.465813405186932</v>
      </c>
    </row>
    <row r="42" spans="1:26" ht="9.75" customHeight="1">
      <c r="A42" s="318"/>
      <c r="B42" s="28" t="s">
        <v>52</v>
      </c>
      <c r="C42" s="193"/>
      <c r="D42" s="193"/>
      <c r="E42" s="198"/>
      <c r="F42" s="34">
        <v>0</v>
      </c>
      <c r="G42" s="198"/>
      <c r="H42" s="19">
        <f t="shared" si="2"/>
        <v>0</v>
      </c>
      <c r="I42" s="74" t="e">
        <f t="shared" si="3"/>
        <v>#DIV/0!</v>
      </c>
      <c r="J42" s="19">
        <f t="shared" si="4"/>
        <v>0</v>
      </c>
      <c r="K42" s="74" t="e">
        <f t="shared" si="5"/>
        <v>#DIV/0!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30">
        <v>0</v>
      </c>
      <c r="R42" s="138" t="e">
        <f t="shared" si="7"/>
        <v>#DIV/0!</v>
      </c>
      <c r="S42" s="187">
        <v>0</v>
      </c>
      <c r="T42" s="84" t="e">
        <f t="shared" si="20"/>
        <v>#DIV/0!</v>
      </c>
      <c r="U42" s="74" t="e">
        <f t="shared" si="9"/>
        <v>#DIV/0!</v>
      </c>
      <c r="V42" s="19">
        <v>0</v>
      </c>
      <c r="W42" s="63" t="e">
        <f t="shared" si="10"/>
        <v>#DIV/0!</v>
      </c>
      <c r="X42" s="279"/>
      <c r="Y42" s="287"/>
      <c r="Z42" s="298"/>
    </row>
    <row r="43" spans="1:26" ht="9.75" customHeight="1">
      <c r="A43" s="306" t="s">
        <v>97</v>
      </c>
      <c r="B43" s="26" t="s">
        <v>51</v>
      </c>
      <c r="C43" s="18">
        <v>19814</v>
      </c>
      <c r="D43" s="18">
        <v>8992</v>
      </c>
      <c r="E43" s="62">
        <f aca="true" t="shared" si="21" ref="E43:E49">D43/C43*100</f>
        <v>45.38205309377208</v>
      </c>
      <c r="F43" s="33">
        <v>668</v>
      </c>
      <c r="G43" s="62">
        <f aca="true" t="shared" si="22" ref="G43:G49">F43/D43*100</f>
        <v>7.4288256227758005</v>
      </c>
      <c r="H43" s="18">
        <f aca="true" t="shared" si="23" ref="H43:H50">SUM(L43:Q43)</f>
        <v>4</v>
      </c>
      <c r="I43" s="73">
        <f aca="true" t="shared" si="24" ref="I43:I50">H43/F43*100</f>
        <v>0.5988023952095809</v>
      </c>
      <c r="J43" s="18">
        <f aca="true" t="shared" si="25" ref="J43:J50">SUM(L43:O43)</f>
        <v>3</v>
      </c>
      <c r="K43" s="73">
        <f aca="true" t="shared" si="26" ref="K43:K50">J43/H43*100</f>
        <v>75</v>
      </c>
      <c r="L43" s="18">
        <v>1</v>
      </c>
      <c r="M43" s="18">
        <v>0</v>
      </c>
      <c r="N43" s="18">
        <v>1</v>
      </c>
      <c r="O43" s="18">
        <v>1</v>
      </c>
      <c r="P43" s="18">
        <v>0</v>
      </c>
      <c r="Q43" s="129">
        <v>1</v>
      </c>
      <c r="R43" s="137">
        <f aca="true" t="shared" si="27" ref="R43:R50">M43/F43*100</f>
        <v>0</v>
      </c>
      <c r="S43" s="186">
        <v>0</v>
      </c>
      <c r="T43" s="83">
        <f t="shared" si="20"/>
        <v>0</v>
      </c>
      <c r="U43" s="73">
        <f aca="true" t="shared" si="28" ref="U43:U50">M43/J43*100</f>
        <v>0</v>
      </c>
      <c r="V43" s="18">
        <v>216</v>
      </c>
      <c r="W43" s="62">
        <f aca="true" t="shared" si="29" ref="W43:W50">U43/E43*100</f>
        <v>0</v>
      </c>
      <c r="X43" s="278">
        <v>0</v>
      </c>
      <c r="Y43" s="288">
        <v>815</v>
      </c>
      <c r="Z43" s="299">
        <f>(F43+Y43-X43)/D43*100</f>
        <v>16.49243772241993</v>
      </c>
    </row>
    <row r="44" spans="1:26" ht="9.75" customHeight="1">
      <c r="A44" s="308"/>
      <c r="B44" s="30" t="s">
        <v>52</v>
      </c>
      <c r="C44" s="183"/>
      <c r="D44" s="183"/>
      <c r="E44" s="198"/>
      <c r="F44" s="34">
        <v>4</v>
      </c>
      <c r="G44" s="198"/>
      <c r="H44" s="19">
        <f t="shared" si="23"/>
        <v>8</v>
      </c>
      <c r="I44" s="74">
        <f t="shared" si="24"/>
        <v>200</v>
      </c>
      <c r="J44" s="19">
        <f t="shared" si="25"/>
        <v>4</v>
      </c>
      <c r="K44" s="74">
        <f t="shared" si="26"/>
        <v>50</v>
      </c>
      <c r="L44" s="19">
        <v>4</v>
      </c>
      <c r="M44" s="19">
        <v>0</v>
      </c>
      <c r="N44" s="19">
        <v>0</v>
      </c>
      <c r="O44" s="19">
        <v>0</v>
      </c>
      <c r="P44" s="19">
        <v>0</v>
      </c>
      <c r="Q44" s="130">
        <v>4</v>
      </c>
      <c r="R44" s="138">
        <f t="shared" si="27"/>
        <v>0</v>
      </c>
      <c r="S44" s="187">
        <v>0</v>
      </c>
      <c r="T44" s="84">
        <f t="shared" si="20"/>
        <v>0</v>
      </c>
      <c r="U44" s="74">
        <f t="shared" si="28"/>
        <v>0</v>
      </c>
      <c r="V44" s="19">
        <v>1</v>
      </c>
      <c r="W44" s="63" t="e">
        <f t="shared" si="29"/>
        <v>#DIV/0!</v>
      </c>
      <c r="X44" s="279"/>
      <c r="Y44" s="287"/>
      <c r="Z44" s="298"/>
    </row>
    <row r="45" spans="1:26" ht="9.75" customHeight="1">
      <c r="A45" s="317" t="s">
        <v>25</v>
      </c>
      <c r="B45" s="25" t="s">
        <v>51</v>
      </c>
      <c r="C45" s="15">
        <v>16128</v>
      </c>
      <c r="D45" s="15">
        <v>8947</v>
      </c>
      <c r="E45" s="62">
        <f t="shared" si="21"/>
        <v>55.47495039682539</v>
      </c>
      <c r="F45" s="33">
        <v>1507</v>
      </c>
      <c r="G45" s="62">
        <f t="shared" si="22"/>
        <v>16.843634737900974</v>
      </c>
      <c r="H45" s="18">
        <f t="shared" si="23"/>
        <v>2</v>
      </c>
      <c r="I45" s="73">
        <f t="shared" si="24"/>
        <v>0.13271400132714</v>
      </c>
      <c r="J45" s="18">
        <f t="shared" si="25"/>
        <v>2</v>
      </c>
      <c r="K45" s="73">
        <f t="shared" si="26"/>
        <v>100</v>
      </c>
      <c r="L45" s="18">
        <v>2</v>
      </c>
      <c r="M45" s="18">
        <v>0</v>
      </c>
      <c r="N45" s="18">
        <v>0</v>
      </c>
      <c r="O45" s="18">
        <v>0</v>
      </c>
      <c r="P45" s="18">
        <v>0</v>
      </c>
      <c r="Q45" s="129">
        <v>0</v>
      </c>
      <c r="R45" s="137">
        <f t="shared" si="27"/>
        <v>0</v>
      </c>
      <c r="S45" s="186">
        <v>0</v>
      </c>
      <c r="T45" s="83">
        <f t="shared" si="20"/>
        <v>0</v>
      </c>
      <c r="U45" s="73">
        <f t="shared" si="28"/>
        <v>0</v>
      </c>
      <c r="V45" s="18">
        <v>247</v>
      </c>
      <c r="W45" s="62">
        <f t="shared" si="29"/>
        <v>0</v>
      </c>
      <c r="X45" s="278">
        <v>1015</v>
      </c>
      <c r="Y45" s="288">
        <v>1460</v>
      </c>
      <c r="Z45" s="299">
        <f>(F45+Y45-X45)/D45*100</f>
        <v>21.817368950486195</v>
      </c>
    </row>
    <row r="46" spans="1:26" ht="9.75" customHeight="1">
      <c r="A46" s="318"/>
      <c r="B46" s="28" t="s">
        <v>52</v>
      </c>
      <c r="C46" s="193"/>
      <c r="D46" s="193"/>
      <c r="E46" s="198"/>
      <c r="F46" s="34">
        <v>0</v>
      </c>
      <c r="G46" s="198"/>
      <c r="H46" s="19">
        <f t="shared" si="23"/>
        <v>0</v>
      </c>
      <c r="I46" s="74" t="e">
        <f t="shared" si="24"/>
        <v>#DIV/0!</v>
      </c>
      <c r="J46" s="19">
        <f t="shared" si="25"/>
        <v>0</v>
      </c>
      <c r="K46" s="74" t="e">
        <f t="shared" si="26"/>
        <v>#DIV/0!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30">
        <v>0</v>
      </c>
      <c r="R46" s="138" t="e">
        <f t="shared" si="27"/>
        <v>#DIV/0!</v>
      </c>
      <c r="S46" s="187">
        <v>0</v>
      </c>
      <c r="T46" s="84" t="e">
        <f t="shared" si="20"/>
        <v>#DIV/0!</v>
      </c>
      <c r="U46" s="74" t="e">
        <f t="shared" si="28"/>
        <v>#DIV/0!</v>
      </c>
      <c r="V46" s="19">
        <v>0</v>
      </c>
      <c r="W46" s="63" t="e">
        <f t="shared" si="29"/>
        <v>#DIV/0!</v>
      </c>
      <c r="X46" s="279"/>
      <c r="Y46" s="287"/>
      <c r="Z46" s="298"/>
    </row>
    <row r="47" spans="1:26" ht="9.75" customHeight="1">
      <c r="A47" s="317" t="s">
        <v>26</v>
      </c>
      <c r="B47" s="26" t="s">
        <v>51</v>
      </c>
      <c r="C47" s="18">
        <v>4752</v>
      </c>
      <c r="D47" s="18">
        <v>1799</v>
      </c>
      <c r="E47" s="62">
        <f t="shared" si="21"/>
        <v>37.857744107744104</v>
      </c>
      <c r="F47" s="33">
        <v>668</v>
      </c>
      <c r="G47" s="62">
        <f t="shared" si="22"/>
        <v>37.13173985547527</v>
      </c>
      <c r="H47" s="18">
        <f t="shared" si="23"/>
        <v>4</v>
      </c>
      <c r="I47" s="73">
        <f t="shared" si="24"/>
        <v>0.5988023952095809</v>
      </c>
      <c r="J47" s="18">
        <f t="shared" si="25"/>
        <v>4</v>
      </c>
      <c r="K47" s="73">
        <f t="shared" si="26"/>
        <v>100</v>
      </c>
      <c r="L47" s="18">
        <v>3</v>
      </c>
      <c r="M47" s="18">
        <v>1</v>
      </c>
      <c r="N47" s="18">
        <v>0</v>
      </c>
      <c r="O47" s="18">
        <v>0</v>
      </c>
      <c r="P47" s="18">
        <v>0</v>
      </c>
      <c r="Q47" s="129">
        <v>0</v>
      </c>
      <c r="R47" s="137">
        <f t="shared" si="27"/>
        <v>0.14970059880239522</v>
      </c>
      <c r="S47" s="186">
        <v>1</v>
      </c>
      <c r="T47" s="83">
        <f t="shared" si="20"/>
        <v>0.14970059880239522</v>
      </c>
      <c r="U47" s="73">
        <f t="shared" si="28"/>
        <v>25</v>
      </c>
      <c r="V47" s="18">
        <v>23</v>
      </c>
      <c r="W47" s="62">
        <f t="shared" si="29"/>
        <v>66.0366870483602</v>
      </c>
      <c r="X47" s="278">
        <v>486</v>
      </c>
      <c r="Y47" s="288">
        <v>681</v>
      </c>
      <c r="Z47" s="299">
        <f>(F47+Y47-X47)/D47*100</f>
        <v>47.971095052807115</v>
      </c>
    </row>
    <row r="48" spans="1:26" ht="9.75" customHeight="1">
      <c r="A48" s="318"/>
      <c r="B48" s="30" t="s">
        <v>52</v>
      </c>
      <c r="C48" s="183"/>
      <c r="D48" s="183"/>
      <c r="E48" s="198"/>
      <c r="F48" s="34">
        <v>0</v>
      </c>
      <c r="G48" s="198"/>
      <c r="H48" s="19">
        <f t="shared" si="23"/>
        <v>0</v>
      </c>
      <c r="I48" s="74" t="e">
        <f t="shared" si="24"/>
        <v>#DIV/0!</v>
      </c>
      <c r="J48" s="19">
        <f t="shared" si="25"/>
        <v>0</v>
      </c>
      <c r="K48" s="74" t="e">
        <f t="shared" si="26"/>
        <v>#DIV/0!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30">
        <v>0</v>
      </c>
      <c r="R48" s="138" t="e">
        <f t="shared" si="27"/>
        <v>#DIV/0!</v>
      </c>
      <c r="S48" s="187">
        <v>0</v>
      </c>
      <c r="T48" s="84" t="e">
        <f t="shared" si="20"/>
        <v>#DIV/0!</v>
      </c>
      <c r="U48" s="74" t="e">
        <f t="shared" si="28"/>
        <v>#DIV/0!</v>
      </c>
      <c r="V48" s="19">
        <v>0</v>
      </c>
      <c r="W48" s="63" t="e">
        <f t="shared" si="29"/>
        <v>#DIV/0!</v>
      </c>
      <c r="X48" s="279"/>
      <c r="Y48" s="287"/>
      <c r="Z48" s="301"/>
    </row>
    <row r="49" spans="1:26" ht="9.75" customHeight="1">
      <c r="A49" s="317" t="s">
        <v>27</v>
      </c>
      <c r="B49" s="25" t="s">
        <v>51</v>
      </c>
      <c r="C49" s="15">
        <v>7129</v>
      </c>
      <c r="D49" s="15">
        <v>1080</v>
      </c>
      <c r="E49" s="62">
        <f t="shared" si="21"/>
        <v>15.149389816243513</v>
      </c>
      <c r="F49" s="33">
        <v>790</v>
      </c>
      <c r="G49" s="62">
        <f t="shared" si="22"/>
        <v>73.14814814814815</v>
      </c>
      <c r="H49" s="18">
        <f t="shared" si="23"/>
        <v>3</v>
      </c>
      <c r="I49" s="73">
        <f t="shared" si="24"/>
        <v>0.37974683544303794</v>
      </c>
      <c r="J49" s="18">
        <f t="shared" si="25"/>
        <v>2</v>
      </c>
      <c r="K49" s="73">
        <f t="shared" si="26"/>
        <v>66.66666666666666</v>
      </c>
      <c r="L49" s="18">
        <v>1</v>
      </c>
      <c r="M49" s="18">
        <v>0</v>
      </c>
      <c r="N49" s="18">
        <v>0</v>
      </c>
      <c r="O49" s="18">
        <v>1</v>
      </c>
      <c r="P49" s="18">
        <v>0</v>
      </c>
      <c r="Q49" s="129">
        <v>1</v>
      </c>
      <c r="R49" s="137">
        <f t="shared" si="27"/>
        <v>0</v>
      </c>
      <c r="S49" s="186">
        <v>0</v>
      </c>
      <c r="T49" s="83">
        <f t="shared" si="20"/>
        <v>0</v>
      </c>
      <c r="U49" s="73">
        <f t="shared" si="28"/>
        <v>0</v>
      </c>
      <c r="V49" s="18">
        <v>120</v>
      </c>
      <c r="W49" s="62">
        <f t="shared" si="29"/>
        <v>0</v>
      </c>
      <c r="X49" s="278">
        <v>0</v>
      </c>
      <c r="Y49" s="288">
        <v>861</v>
      </c>
      <c r="Z49" s="300">
        <f>(F49+Y49-X49)/D49*100</f>
        <v>152.87037037037038</v>
      </c>
    </row>
    <row r="50" spans="1:26" ht="9.75" customHeight="1" thickBot="1">
      <c r="A50" s="319"/>
      <c r="B50" s="28" t="s">
        <v>52</v>
      </c>
      <c r="C50" s="194"/>
      <c r="D50" s="194"/>
      <c r="E50" s="198"/>
      <c r="F50" s="34">
        <v>0</v>
      </c>
      <c r="G50" s="198"/>
      <c r="H50" s="19">
        <f t="shared" si="23"/>
        <v>0</v>
      </c>
      <c r="I50" s="74" t="e">
        <f t="shared" si="24"/>
        <v>#DIV/0!</v>
      </c>
      <c r="J50" s="19">
        <f t="shared" si="25"/>
        <v>0</v>
      </c>
      <c r="K50" s="74" t="e">
        <f t="shared" si="26"/>
        <v>#DIV/0!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30">
        <v>0</v>
      </c>
      <c r="R50" s="138" t="e">
        <f t="shared" si="27"/>
        <v>#DIV/0!</v>
      </c>
      <c r="S50" s="187">
        <v>0</v>
      </c>
      <c r="T50" s="84" t="e">
        <f t="shared" si="20"/>
        <v>#DIV/0!</v>
      </c>
      <c r="U50" s="74" t="e">
        <f t="shared" si="28"/>
        <v>#DIV/0!</v>
      </c>
      <c r="V50" s="19">
        <v>0</v>
      </c>
      <c r="W50" s="63" t="e">
        <f t="shared" si="29"/>
        <v>#DIV/0!</v>
      </c>
      <c r="X50" s="279"/>
      <c r="Y50" s="287"/>
      <c r="Z50" s="294"/>
    </row>
    <row r="51" spans="1:26" ht="9.75" customHeight="1">
      <c r="A51" s="311" t="s">
        <v>44</v>
      </c>
      <c r="B51" s="50" t="s">
        <v>51</v>
      </c>
      <c r="C51" s="51">
        <f>SUM(C41,C43,C45,C47,C49)</f>
        <v>72373</v>
      </c>
      <c r="D51" s="51">
        <f>SUM(D41,D43,D45,D47,D49)</f>
        <v>35663</v>
      </c>
      <c r="E51" s="65">
        <f aca="true" t="shared" si="30" ref="E51:E67">D51/C51*100</f>
        <v>49.27666394926285</v>
      </c>
      <c r="F51" s="52">
        <f>SUM(F41,F43,F45,F47,F49)</f>
        <v>5109</v>
      </c>
      <c r="G51" s="123">
        <f aca="true" t="shared" si="31" ref="G51:G67">F51/D51*100</f>
        <v>14.325771808316743</v>
      </c>
      <c r="H51" s="124">
        <f aca="true" t="shared" si="32" ref="H51:H68">SUM(L51:Q51)</f>
        <v>13</v>
      </c>
      <c r="I51" s="125">
        <f aca="true" t="shared" si="33" ref="I51:I68">H51/F51*100</f>
        <v>0.2544529262086514</v>
      </c>
      <c r="J51" s="126">
        <f aca="true" t="shared" si="34" ref="J51:J68">SUM(L51:O51)</f>
        <v>11</v>
      </c>
      <c r="K51" s="125">
        <f aca="true" t="shared" si="35" ref="K51:K68">J51/H51*100</f>
        <v>84.61538461538461</v>
      </c>
      <c r="L51" s="51">
        <f aca="true" t="shared" si="36" ref="L51:Q52">SUM(L41,L43,L45,L47,L49)</f>
        <v>7</v>
      </c>
      <c r="M51" s="51">
        <f t="shared" si="36"/>
        <v>1</v>
      </c>
      <c r="N51" s="51">
        <f t="shared" si="36"/>
        <v>1</v>
      </c>
      <c r="O51" s="51">
        <f t="shared" si="36"/>
        <v>2</v>
      </c>
      <c r="P51" s="51">
        <f t="shared" si="36"/>
        <v>0</v>
      </c>
      <c r="Q51" s="133">
        <f t="shared" si="36"/>
        <v>2</v>
      </c>
      <c r="R51" s="135">
        <f aca="true" t="shared" si="37" ref="R51:R68">M51/F51*100</f>
        <v>0.019573302016050106</v>
      </c>
      <c r="S51" s="190">
        <f>SUM(S41,S43,S45,S47,S49)</f>
        <v>1</v>
      </c>
      <c r="T51" s="85">
        <f aca="true" t="shared" si="38" ref="T51:T66">S51/F51*100</f>
        <v>0.019573302016050106</v>
      </c>
      <c r="U51" s="76">
        <f aca="true" t="shared" si="39" ref="U51:U68">M51/J51*100</f>
        <v>9.090909090909092</v>
      </c>
      <c r="V51" s="51">
        <f>SUM(V41,V43,V45,V47,V49)</f>
        <v>795</v>
      </c>
      <c r="W51" s="65">
        <f aca="true" t="shared" si="40" ref="W51:W68">U51/E51*100</f>
        <v>18.448710530139465</v>
      </c>
      <c r="X51" s="282">
        <f>SUM(X41,X43,X45,X47,X49)</f>
        <v>2341</v>
      </c>
      <c r="Y51" s="282">
        <f>SUM(Y41,Y43,Y45,Y47,Y49)</f>
        <v>5180</v>
      </c>
      <c r="Z51" s="291">
        <f>(F51+Y51-X51)/D51*100</f>
        <v>22.286403275103048</v>
      </c>
    </row>
    <row r="52" spans="1:26" ht="9.75" customHeight="1" thickBot="1">
      <c r="A52" s="312"/>
      <c r="B52" s="53" t="s">
        <v>52</v>
      </c>
      <c r="C52" s="196"/>
      <c r="D52" s="196"/>
      <c r="E52" s="197"/>
      <c r="F52" s="55">
        <f>SUM(F42,F44,F46,F48,F50)</f>
        <v>4</v>
      </c>
      <c r="G52" s="216"/>
      <c r="H52" s="44">
        <f t="shared" si="32"/>
        <v>8</v>
      </c>
      <c r="I52" s="72">
        <f t="shared" si="33"/>
        <v>200</v>
      </c>
      <c r="J52" s="45">
        <f t="shared" si="34"/>
        <v>4</v>
      </c>
      <c r="K52" s="72">
        <f t="shared" si="35"/>
        <v>50</v>
      </c>
      <c r="L52" s="54">
        <f t="shared" si="36"/>
        <v>4</v>
      </c>
      <c r="M52" s="54">
        <f t="shared" si="36"/>
        <v>0</v>
      </c>
      <c r="N52" s="54">
        <f t="shared" si="36"/>
        <v>0</v>
      </c>
      <c r="O52" s="54">
        <f t="shared" si="36"/>
        <v>0</v>
      </c>
      <c r="P52" s="54">
        <f t="shared" si="36"/>
        <v>0</v>
      </c>
      <c r="Q52" s="134">
        <f t="shared" si="36"/>
        <v>4</v>
      </c>
      <c r="R52" s="136">
        <f t="shared" si="37"/>
        <v>0</v>
      </c>
      <c r="S52" s="191">
        <f>SUM(S42,S44,S46,S48,S50)</f>
        <v>0</v>
      </c>
      <c r="T52" s="82">
        <f t="shared" si="38"/>
        <v>0</v>
      </c>
      <c r="U52" s="77">
        <f t="shared" si="39"/>
        <v>0</v>
      </c>
      <c r="V52" s="54">
        <f>SUM(V42,V44,V46,V48,V50)</f>
        <v>1</v>
      </c>
      <c r="W52" s="61" t="e">
        <f t="shared" si="40"/>
        <v>#DIV/0!</v>
      </c>
      <c r="X52" s="283"/>
      <c r="Y52" s="285"/>
      <c r="Z52" s="292"/>
    </row>
    <row r="53" spans="1:26" ht="9.75" customHeight="1">
      <c r="A53" s="307" t="s">
        <v>98</v>
      </c>
      <c r="B53" s="29" t="s">
        <v>51</v>
      </c>
      <c r="C53" s="22">
        <v>15930</v>
      </c>
      <c r="D53" s="22">
        <v>7887</v>
      </c>
      <c r="E53" s="62">
        <f t="shared" si="30"/>
        <v>49.51035781544256</v>
      </c>
      <c r="F53" s="33">
        <v>1225</v>
      </c>
      <c r="G53" s="62">
        <f t="shared" si="31"/>
        <v>15.531887916825154</v>
      </c>
      <c r="H53" s="18">
        <f t="shared" si="32"/>
        <v>4</v>
      </c>
      <c r="I53" s="73">
        <f t="shared" si="33"/>
        <v>0.326530612244898</v>
      </c>
      <c r="J53" s="18">
        <f t="shared" si="34"/>
        <v>3</v>
      </c>
      <c r="K53" s="73">
        <f t="shared" si="35"/>
        <v>75</v>
      </c>
      <c r="L53" s="18">
        <v>1</v>
      </c>
      <c r="M53" s="18">
        <v>1</v>
      </c>
      <c r="N53" s="18">
        <v>1</v>
      </c>
      <c r="O53" s="18">
        <v>0</v>
      </c>
      <c r="P53" s="18">
        <v>0</v>
      </c>
      <c r="Q53" s="129">
        <v>1</v>
      </c>
      <c r="R53" s="137">
        <f t="shared" si="37"/>
        <v>0.0816326530612245</v>
      </c>
      <c r="S53" s="186">
        <v>0</v>
      </c>
      <c r="T53" s="83">
        <f t="shared" si="38"/>
        <v>0</v>
      </c>
      <c r="U53" s="73">
        <f t="shared" si="39"/>
        <v>33.33333333333333</v>
      </c>
      <c r="V53" s="18">
        <v>120</v>
      </c>
      <c r="W53" s="62">
        <f t="shared" si="40"/>
        <v>67.32597945987067</v>
      </c>
      <c r="X53" s="278">
        <v>870</v>
      </c>
      <c r="Y53" s="288">
        <v>1332</v>
      </c>
      <c r="Z53" s="299">
        <f>(F53+Y53-X53)/D53*100</f>
        <v>21.389628502599216</v>
      </c>
    </row>
    <row r="54" spans="1:26" ht="9.75" customHeight="1" thickBot="1">
      <c r="A54" s="307"/>
      <c r="B54" s="28" t="s">
        <v>52</v>
      </c>
      <c r="C54" s="194"/>
      <c r="D54" s="194"/>
      <c r="E54" s="198"/>
      <c r="F54" s="34">
        <v>0</v>
      </c>
      <c r="G54" s="198"/>
      <c r="H54" s="19">
        <f t="shared" si="32"/>
        <v>0</v>
      </c>
      <c r="I54" s="74" t="e">
        <f t="shared" si="33"/>
        <v>#DIV/0!</v>
      </c>
      <c r="J54" s="19">
        <f t="shared" si="34"/>
        <v>0</v>
      </c>
      <c r="K54" s="74" t="e">
        <f t="shared" si="35"/>
        <v>#DIV/0!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30">
        <v>0</v>
      </c>
      <c r="R54" s="138" t="e">
        <f t="shared" si="37"/>
        <v>#DIV/0!</v>
      </c>
      <c r="S54" s="187">
        <v>0</v>
      </c>
      <c r="T54" s="84" t="e">
        <f t="shared" si="38"/>
        <v>#DIV/0!</v>
      </c>
      <c r="U54" s="74" t="e">
        <f t="shared" si="39"/>
        <v>#DIV/0!</v>
      </c>
      <c r="V54" s="19">
        <v>0</v>
      </c>
      <c r="W54" s="63" t="e">
        <f t="shared" si="40"/>
        <v>#DIV/0!</v>
      </c>
      <c r="X54" s="279"/>
      <c r="Y54" s="287"/>
      <c r="Z54" s="298"/>
    </row>
    <row r="55" spans="1:26" ht="9.75" customHeight="1">
      <c r="A55" s="311" t="s">
        <v>45</v>
      </c>
      <c r="B55" s="50" t="s">
        <v>51</v>
      </c>
      <c r="C55" s="51">
        <f>C53</f>
        <v>15930</v>
      </c>
      <c r="D55" s="51">
        <f>D53</f>
        <v>7887</v>
      </c>
      <c r="E55" s="65">
        <f t="shared" si="30"/>
        <v>49.51035781544256</v>
      </c>
      <c r="F55" s="52">
        <f>F53</f>
        <v>1225</v>
      </c>
      <c r="G55" s="123">
        <f t="shared" si="31"/>
        <v>15.531887916825154</v>
      </c>
      <c r="H55" s="124">
        <f t="shared" si="32"/>
        <v>4</v>
      </c>
      <c r="I55" s="125">
        <f t="shared" si="33"/>
        <v>0.326530612244898</v>
      </c>
      <c r="J55" s="126">
        <f t="shared" si="34"/>
        <v>3</v>
      </c>
      <c r="K55" s="125">
        <f t="shared" si="35"/>
        <v>75</v>
      </c>
      <c r="L55" s="51">
        <f aca="true" t="shared" si="41" ref="L55:Q56">L53</f>
        <v>1</v>
      </c>
      <c r="M55" s="51">
        <f t="shared" si="41"/>
        <v>1</v>
      </c>
      <c r="N55" s="51">
        <f t="shared" si="41"/>
        <v>1</v>
      </c>
      <c r="O55" s="51">
        <f t="shared" si="41"/>
        <v>0</v>
      </c>
      <c r="P55" s="51">
        <f t="shared" si="41"/>
        <v>0</v>
      </c>
      <c r="Q55" s="133">
        <f t="shared" si="41"/>
        <v>1</v>
      </c>
      <c r="R55" s="135">
        <f t="shared" si="37"/>
        <v>0.0816326530612245</v>
      </c>
      <c r="S55" s="190">
        <f>S53</f>
        <v>0</v>
      </c>
      <c r="T55" s="85">
        <f t="shared" si="38"/>
        <v>0</v>
      </c>
      <c r="U55" s="76">
        <f t="shared" si="39"/>
        <v>33.33333333333333</v>
      </c>
      <c r="V55" s="51">
        <f>V53</f>
        <v>120</v>
      </c>
      <c r="W55" s="65">
        <f t="shared" si="40"/>
        <v>67.32597945987067</v>
      </c>
      <c r="X55" s="282">
        <f>X53</f>
        <v>870</v>
      </c>
      <c r="Y55" s="282">
        <f>Y53</f>
        <v>1332</v>
      </c>
      <c r="Z55" s="291">
        <f>(F55+Y55-X55)/D55*100</f>
        <v>21.389628502599216</v>
      </c>
    </row>
    <row r="56" spans="1:26" ht="9.75" customHeight="1" thickBot="1">
      <c r="A56" s="312"/>
      <c r="B56" s="53" t="s">
        <v>52</v>
      </c>
      <c r="C56" s="196"/>
      <c r="D56" s="196"/>
      <c r="E56" s="197"/>
      <c r="F56" s="55">
        <f>F54</f>
        <v>0</v>
      </c>
      <c r="G56" s="216"/>
      <c r="H56" s="44">
        <f t="shared" si="32"/>
        <v>0</v>
      </c>
      <c r="I56" s="72" t="e">
        <f t="shared" si="33"/>
        <v>#DIV/0!</v>
      </c>
      <c r="J56" s="45">
        <f t="shared" si="34"/>
        <v>0</v>
      </c>
      <c r="K56" s="72" t="e">
        <f t="shared" si="35"/>
        <v>#DIV/0!</v>
      </c>
      <c r="L56" s="54">
        <f t="shared" si="41"/>
        <v>0</v>
      </c>
      <c r="M56" s="54">
        <f t="shared" si="41"/>
        <v>0</v>
      </c>
      <c r="N56" s="54">
        <f t="shared" si="41"/>
        <v>0</v>
      </c>
      <c r="O56" s="54">
        <f t="shared" si="41"/>
        <v>0</v>
      </c>
      <c r="P56" s="54">
        <f t="shared" si="41"/>
        <v>0</v>
      </c>
      <c r="Q56" s="134">
        <f t="shared" si="41"/>
        <v>0</v>
      </c>
      <c r="R56" s="136" t="e">
        <f t="shared" si="37"/>
        <v>#DIV/0!</v>
      </c>
      <c r="S56" s="191">
        <f>S54</f>
        <v>0</v>
      </c>
      <c r="T56" s="82" t="e">
        <f t="shared" si="38"/>
        <v>#DIV/0!</v>
      </c>
      <c r="U56" s="77" t="e">
        <f t="shared" si="39"/>
        <v>#DIV/0!</v>
      </c>
      <c r="V56" s="54">
        <f>V54</f>
        <v>0</v>
      </c>
      <c r="W56" s="61" t="e">
        <f t="shared" si="40"/>
        <v>#DIV/0!</v>
      </c>
      <c r="X56" s="283"/>
      <c r="Y56" s="285"/>
      <c r="Z56" s="292"/>
    </row>
    <row r="57" spans="1:26" ht="9.75" customHeight="1">
      <c r="A57" s="319" t="s">
        <v>28</v>
      </c>
      <c r="B57" s="29" t="s">
        <v>51</v>
      </c>
      <c r="C57" s="22">
        <v>15966</v>
      </c>
      <c r="D57" s="22">
        <v>8170</v>
      </c>
      <c r="E57" s="62">
        <f t="shared" si="30"/>
        <v>51.17123888262558</v>
      </c>
      <c r="F57" s="33">
        <v>1891</v>
      </c>
      <c r="G57" s="62">
        <f t="shared" si="31"/>
        <v>23.145654834761324</v>
      </c>
      <c r="H57" s="18">
        <f t="shared" si="32"/>
        <v>14</v>
      </c>
      <c r="I57" s="73">
        <f t="shared" si="33"/>
        <v>0.74034902168165</v>
      </c>
      <c r="J57" s="18">
        <f t="shared" si="34"/>
        <v>9</v>
      </c>
      <c r="K57" s="73">
        <f t="shared" si="35"/>
        <v>64.28571428571429</v>
      </c>
      <c r="L57" s="18">
        <v>3</v>
      </c>
      <c r="M57" s="18">
        <v>0</v>
      </c>
      <c r="N57" s="18">
        <v>0</v>
      </c>
      <c r="O57" s="18">
        <v>6</v>
      </c>
      <c r="P57" s="18">
        <v>5</v>
      </c>
      <c r="Q57" s="129">
        <v>0</v>
      </c>
      <c r="R57" s="137">
        <f t="shared" si="37"/>
        <v>0</v>
      </c>
      <c r="S57" s="186">
        <v>0</v>
      </c>
      <c r="T57" s="83">
        <f t="shared" si="38"/>
        <v>0</v>
      </c>
      <c r="U57" s="73">
        <f t="shared" si="39"/>
        <v>0</v>
      </c>
      <c r="V57" s="18">
        <v>238</v>
      </c>
      <c r="W57" s="62">
        <f t="shared" si="40"/>
        <v>0</v>
      </c>
      <c r="X57" s="278">
        <v>1359</v>
      </c>
      <c r="Y57" s="288">
        <v>1846</v>
      </c>
      <c r="Z57" s="299">
        <f>(F57+Y57-X57)/D57*100</f>
        <v>29.106487148102815</v>
      </c>
    </row>
    <row r="58" spans="1:26" ht="9.75" customHeight="1" thickBot="1">
      <c r="A58" s="319"/>
      <c r="B58" s="28" t="s">
        <v>52</v>
      </c>
      <c r="C58" s="194"/>
      <c r="D58" s="194"/>
      <c r="E58" s="198"/>
      <c r="F58" s="34">
        <v>1</v>
      </c>
      <c r="G58" s="198"/>
      <c r="H58" s="19">
        <f t="shared" si="32"/>
        <v>0</v>
      </c>
      <c r="I58" s="74">
        <f t="shared" si="33"/>
        <v>0</v>
      </c>
      <c r="J58" s="19">
        <f t="shared" si="34"/>
        <v>0</v>
      </c>
      <c r="K58" s="74" t="e">
        <f t="shared" si="35"/>
        <v>#DIV/0!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30">
        <v>0</v>
      </c>
      <c r="R58" s="138">
        <f t="shared" si="37"/>
        <v>0</v>
      </c>
      <c r="S58" s="187">
        <v>0</v>
      </c>
      <c r="T58" s="84">
        <f t="shared" si="38"/>
        <v>0</v>
      </c>
      <c r="U58" s="74" t="e">
        <f t="shared" si="39"/>
        <v>#DIV/0!</v>
      </c>
      <c r="V58" s="19">
        <v>0</v>
      </c>
      <c r="W58" s="63" t="e">
        <f t="shared" si="40"/>
        <v>#DIV/0!</v>
      </c>
      <c r="X58" s="279"/>
      <c r="Y58" s="287"/>
      <c r="Z58" s="298"/>
    </row>
    <row r="59" spans="1:26" ht="9.75" customHeight="1">
      <c r="A59" s="311" t="s">
        <v>46</v>
      </c>
      <c r="B59" s="50" t="s">
        <v>51</v>
      </c>
      <c r="C59" s="51">
        <f>C57</f>
        <v>15966</v>
      </c>
      <c r="D59" s="51">
        <f>D57</f>
        <v>8170</v>
      </c>
      <c r="E59" s="65">
        <f t="shared" si="30"/>
        <v>51.17123888262558</v>
      </c>
      <c r="F59" s="52">
        <f>F57</f>
        <v>1891</v>
      </c>
      <c r="G59" s="123">
        <f t="shared" si="31"/>
        <v>23.145654834761324</v>
      </c>
      <c r="H59" s="124">
        <f t="shared" si="32"/>
        <v>14</v>
      </c>
      <c r="I59" s="125">
        <f t="shared" si="33"/>
        <v>0.74034902168165</v>
      </c>
      <c r="J59" s="126">
        <f t="shared" si="34"/>
        <v>9</v>
      </c>
      <c r="K59" s="125">
        <f t="shared" si="35"/>
        <v>64.28571428571429</v>
      </c>
      <c r="L59" s="51">
        <f aca="true" t="shared" si="42" ref="L59:Q60">L57</f>
        <v>3</v>
      </c>
      <c r="M59" s="51">
        <f t="shared" si="42"/>
        <v>0</v>
      </c>
      <c r="N59" s="51">
        <f t="shared" si="42"/>
        <v>0</v>
      </c>
      <c r="O59" s="51">
        <f t="shared" si="42"/>
        <v>6</v>
      </c>
      <c r="P59" s="51">
        <f t="shared" si="42"/>
        <v>5</v>
      </c>
      <c r="Q59" s="133">
        <f t="shared" si="42"/>
        <v>0</v>
      </c>
      <c r="R59" s="135">
        <f t="shared" si="37"/>
        <v>0</v>
      </c>
      <c r="S59" s="190">
        <f>S57</f>
        <v>0</v>
      </c>
      <c r="T59" s="85">
        <f t="shared" si="38"/>
        <v>0</v>
      </c>
      <c r="U59" s="76">
        <f t="shared" si="39"/>
        <v>0</v>
      </c>
      <c r="V59" s="51">
        <f>V57</f>
        <v>238</v>
      </c>
      <c r="W59" s="65">
        <f t="shared" si="40"/>
        <v>0</v>
      </c>
      <c r="X59" s="282">
        <f>X57</f>
        <v>1359</v>
      </c>
      <c r="Y59" s="282">
        <f>Y57</f>
        <v>1846</v>
      </c>
      <c r="Z59" s="291">
        <f>(F59+Y59-X59)/D59*100</f>
        <v>29.106487148102815</v>
      </c>
    </row>
    <row r="60" spans="1:26" ht="9.75" customHeight="1" thickBot="1">
      <c r="A60" s="312"/>
      <c r="B60" s="53" t="s">
        <v>52</v>
      </c>
      <c r="C60" s="196"/>
      <c r="D60" s="196"/>
      <c r="E60" s="197"/>
      <c r="F60" s="55">
        <f>F58</f>
        <v>1</v>
      </c>
      <c r="G60" s="216"/>
      <c r="H60" s="44">
        <f t="shared" si="32"/>
        <v>0</v>
      </c>
      <c r="I60" s="72">
        <f t="shared" si="33"/>
        <v>0</v>
      </c>
      <c r="J60" s="45">
        <f t="shared" si="34"/>
        <v>0</v>
      </c>
      <c r="K60" s="72" t="e">
        <f t="shared" si="35"/>
        <v>#DIV/0!</v>
      </c>
      <c r="L60" s="54">
        <f t="shared" si="42"/>
        <v>0</v>
      </c>
      <c r="M60" s="54">
        <f t="shared" si="42"/>
        <v>0</v>
      </c>
      <c r="N60" s="54">
        <f t="shared" si="42"/>
        <v>0</v>
      </c>
      <c r="O60" s="54">
        <f t="shared" si="42"/>
        <v>0</v>
      </c>
      <c r="P60" s="54">
        <f t="shared" si="42"/>
        <v>0</v>
      </c>
      <c r="Q60" s="134">
        <f t="shared" si="42"/>
        <v>0</v>
      </c>
      <c r="R60" s="136">
        <f t="shared" si="37"/>
        <v>0</v>
      </c>
      <c r="S60" s="191">
        <f>S58</f>
        <v>0</v>
      </c>
      <c r="T60" s="82">
        <f t="shared" si="38"/>
        <v>0</v>
      </c>
      <c r="U60" s="77" t="e">
        <f t="shared" si="39"/>
        <v>#DIV/0!</v>
      </c>
      <c r="V60" s="54">
        <f>V58</f>
        <v>0</v>
      </c>
      <c r="W60" s="61" t="e">
        <f t="shared" si="40"/>
        <v>#DIV/0!</v>
      </c>
      <c r="X60" s="283"/>
      <c r="Y60" s="285"/>
      <c r="Z60" s="292"/>
    </row>
    <row r="61" spans="1:26" ht="9.75" customHeight="1">
      <c r="A61" s="307" t="s">
        <v>99</v>
      </c>
      <c r="B61" s="29" t="s">
        <v>51</v>
      </c>
      <c r="C61" s="22">
        <v>22881</v>
      </c>
      <c r="D61" s="22">
        <v>12617</v>
      </c>
      <c r="E61" s="62">
        <f t="shared" si="30"/>
        <v>55.14182072461868</v>
      </c>
      <c r="F61" s="33">
        <v>1336</v>
      </c>
      <c r="G61" s="62">
        <f t="shared" si="31"/>
        <v>10.588888008242847</v>
      </c>
      <c r="H61" s="18">
        <f t="shared" si="32"/>
        <v>2</v>
      </c>
      <c r="I61" s="73">
        <f t="shared" si="33"/>
        <v>0.14970059880239522</v>
      </c>
      <c r="J61" s="18">
        <f t="shared" si="34"/>
        <v>2</v>
      </c>
      <c r="K61" s="73">
        <f t="shared" si="35"/>
        <v>100</v>
      </c>
      <c r="L61" s="18">
        <v>0</v>
      </c>
      <c r="M61" s="18">
        <v>1</v>
      </c>
      <c r="N61" s="18">
        <v>0</v>
      </c>
      <c r="O61" s="18">
        <v>1</v>
      </c>
      <c r="P61" s="18">
        <v>0</v>
      </c>
      <c r="Q61" s="129">
        <v>0</v>
      </c>
      <c r="R61" s="137">
        <f t="shared" si="37"/>
        <v>0.07485029940119761</v>
      </c>
      <c r="S61" s="186">
        <v>1</v>
      </c>
      <c r="T61" s="83">
        <f t="shared" si="38"/>
        <v>0.07485029940119761</v>
      </c>
      <c r="U61" s="73">
        <f t="shared" si="39"/>
        <v>50</v>
      </c>
      <c r="V61" s="18">
        <v>236</v>
      </c>
      <c r="W61" s="62">
        <f t="shared" si="40"/>
        <v>90.6752793849568</v>
      </c>
      <c r="X61" s="278">
        <v>848</v>
      </c>
      <c r="Y61" s="288">
        <v>1404</v>
      </c>
      <c r="Z61" s="299">
        <f>(F61+Y61-X61)/D61*100</f>
        <v>14.995640802092414</v>
      </c>
    </row>
    <row r="62" spans="1:26" ht="9.75" customHeight="1">
      <c r="A62" s="308"/>
      <c r="B62" s="28" t="s">
        <v>52</v>
      </c>
      <c r="C62" s="193"/>
      <c r="D62" s="193"/>
      <c r="E62" s="198"/>
      <c r="F62" s="34">
        <v>0</v>
      </c>
      <c r="G62" s="198"/>
      <c r="H62" s="19">
        <f t="shared" si="32"/>
        <v>0</v>
      </c>
      <c r="I62" s="74" t="e">
        <f t="shared" si="33"/>
        <v>#DIV/0!</v>
      </c>
      <c r="J62" s="19">
        <f t="shared" si="34"/>
        <v>0</v>
      </c>
      <c r="K62" s="74" t="e">
        <f t="shared" si="35"/>
        <v>#DIV/0!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30">
        <v>0</v>
      </c>
      <c r="R62" s="138" t="e">
        <f t="shared" si="37"/>
        <v>#DIV/0!</v>
      </c>
      <c r="S62" s="187">
        <v>0</v>
      </c>
      <c r="T62" s="84" t="e">
        <f t="shared" si="38"/>
        <v>#DIV/0!</v>
      </c>
      <c r="U62" s="74" t="e">
        <f t="shared" si="39"/>
        <v>#DIV/0!</v>
      </c>
      <c r="V62" s="19">
        <v>0</v>
      </c>
      <c r="W62" s="63" t="e">
        <f t="shared" si="40"/>
        <v>#DIV/0!</v>
      </c>
      <c r="X62" s="279"/>
      <c r="Y62" s="287"/>
      <c r="Z62" s="298"/>
    </row>
    <row r="63" spans="1:26" ht="9.75" customHeight="1">
      <c r="A63" s="317" t="s">
        <v>29</v>
      </c>
      <c r="B63" s="26" t="s">
        <v>51</v>
      </c>
      <c r="C63" s="18">
        <v>462</v>
      </c>
      <c r="D63" s="18">
        <v>304</v>
      </c>
      <c r="E63" s="62">
        <f t="shared" si="30"/>
        <v>65.80086580086581</v>
      </c>
      <c r="F63" s="33">
        <v>57</v>
      </c>
      <c r="G63" s="62">
        <f t="shared" si="31"/>
        <v>18.75</v>
      </c>
      <c r="H63" s="18">
        <f t="shared" si="32"/>
        <v>0</v>
      </c>
      <c r="I63" s="73">
        <f t="shared" si="33"/>
        <v>0</v>
      </c>
      <c r="J63" s="18">
        <f t="shared" si="34"/>
        <v>0</v>
      </c>
      <c r="K63" s="73" t="e">
        <f t="shared" si="35"/>
        <v>#DIV/0!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29">
        <v>0</v>
      </c>
      <c r="R63" s="137">
        <f t="shared" si="37"/>
        <v>0</v>
      </c>
      <c r="S63" s="186">
        <v>0</v>
      </c>
      <c r="T63" s="83">
        <f t="shared" si="38"/>
        <v>0</v>
      </c>
      <c r="U63" s="73" t="e">
        <f t="shared" si="39"/>
        <v>#DIV/0!</v>
      </c>
      <c r="V63" s="18">
        <v>7</v>
      </c>
      <c r="W63" s="62" t="e">
        <f t="shared" si="40"/>
        <v>#DIV/0!</v>
      </c>
      <c r="X63" s="278">
        <v>41</v>
      </c>
      <c r="Y63" s="288">
        <v>76</v>
      </c>
      <c r="Z63" s="299">
        <f>(F63+Y63-X63)/D63*100</f>
        <v>30.263157894736842</v>
      </c>
    </row>
    <row r="64" spans="1:26" ht="9.75" customHeight="1" thickBot="1">
      <c r="A64" s="319"/>
      <c r="B64" s="27" t="s">
        <v>52</v>
      </c>
      <c r="C64" s="195"/>
      <c r="D64" s="195"/>
      <c r="E64" s="198"/>
      <c r="F64" s="34">
        <v>0</v>
      </c>
      <c r="G64" s="198"/>
      <c r="H64" s="19">
        <f t="shared" si="32"/>
        <v>0</v>
      </c>
      <c r="I64" s="74" t="e">
        <f t="shared" si="33"/>
        <v>#DIV/0!</v>
      </c>
      <c r="J64" s="19">
        <f t="shared" si="34"/>
        <v>0</v>
      </c>
      <c r="K64" s="74" t="e">
        <f t="shared" si="35"/>
        <v>#DIV/0!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30">
        <v>0</v>
      </c>
      <c r="R64" s="138" t="e">
        <f t="shared" si="37"/>
        <v>#DIV/0!</v>
      </c>
      <c r="S64" s="187">
        <v>0</v>
      </c>
      <c r="T64" s="84" t="e">
        <f t="shared" si="38"/>
        <v>#DIV/0!</v>
      </c>
      <c r="U64" s="74" t="e">
        <f t="shared" si="39"/>
        <v>#DIV/0!</v>
      </c>
      <c r="V64" s="19">
        <v>0</v>
      </c>
      <c r="W64" s="63" t="e">
        <f t="shared" si="40"/>
        <v>#DIV/0!</v>
      </c>
      <c r="X64" s="279"/>
      <c r="Y64" s="287"/>
      <c r="Z64" s="298"/>
    </row>
    <row r="65" spans="1:26" ht="9.75" customHeight="1">
      <c r="A65" s="311" t="s">
        <v>47</v>
      </c>
      <c r="B65" s="46" t="s">
        <v>51</v>
      </c>
      <c r="C65" s="47">
        <f>SUM(C61,C63)</f>
        <v>23343</v>
      </c>
      <c r="D65" s="47">
        <f>SUM(D61,D63)</f>
        <v>12921</v>
      </c>
      <c r="E65" s="65">
        <f t="shared" si="30"/>
        <v>55.352782418712245</v>
      </c>
      <c r="F65" s="48">
        <f>SUM(F61,F63)</f>
        <v>1393</v>
      </c>
      <c r="G65" s="123">
        <f t="shared" si="31"/>
        <v>10.780899311198823</v>
      </c>
      <c r="H65" s="124">
        <f t="shared" si="32"/>
        <v>2</v>
      </c>
      <c r="I65" s="125">
        <f t="shared" si="33"/>
        <v>0.14357501794687724</v>
      </c>
      <c r="J65" s="126">
        <f t="shared" si="34"/>
        <v>2</v>
      </c>
      <c r="K65" s="125">
        <f t="shared" si="35"/>
        <v>100</v>
      </c>
      <c r="L65" s="47">
        <f aca="true" t="shared" si="43" ref="L65:Q66">SUM(L61,L63)</f>
        <v>0</v>
      </c>
      <c r="M65" s="47">
        <f t="shared" si="43"/>
        <v>1</v>
      </c>
      <c r="N65" s="47">
        <f t="shared" si="43"/>
        <v>0</v>
      </c>
      <c r="O65" s="47">
        <f t="shared" si="43"/>
        <v>1</v>
      </c>
      <c r="P65" s="47">
        <f t="shared" si="43"/>
        <v>0</v>
      </c>
      <c r="Q65" s="132">
        <f t="shared" si="43"/>
        <v>0</v>
      </c>
      <c r="R65" s="135">
        <f t="shared" si="37"/>
        <v>0.07178750897343862</v>
      </c>
      <c r="S65" s="189">
        <f>SUM(S61,S63)</f>
        <v>1</v>
      </c>
      <c r="T65" s="85">
        <f t="shared" si="38"/>
        <v>0.07178750897343862</v>
      </c>
      <c r="U65" s="76">
        <f t="shared" si="39"/>
        <v>50</v>
      </c>
      <c r="V65" s="47">
        <f>SUM(V61,V63)</f>
        <v>243</v>
      </c>
      <c r="W65" s="65">
        <f t="shared" si="40"/>
        <v>90.32969584397493</v>
      </c>
      <c r="X65" s="281">
        <f>SUM(X61,X63)</f>
        <v>889</v>
      </c>
      <c r="Y65" s="281">
        <f>SUM(Y61,Y63)</f>
        <v>1480</v>
      </c>
      <c r="Z65" s="291">
        <f>(F65+Y65-X65)/D65*100</f>
        <v>15.354848695921369</v>
      </c>
    </row>
    <row r="66" spans="1:26" ht="9.75" customHeight="1" thickBot="1">
      <c r="A66" s="312"/>
      <c r="B66" s="42" t="s">
        <v>52</v>
      </c>
      <c r="C66" s="192"/>
      <c r="D66" s="192"/>
      <c r="E66" s="197"/>
      <c r="F66" s="49">
        <f>SUM(F62,F64)</f>
        <v>0</v>
      </c>
      <c r="G66" s="216"/>
      <c r="H66" s="44">
        <f t="shared" si="32"/>
        <v>0</v>
      </c>
      <c r="I66" s="72" t="e">
        <f t="shared" si="33"/>
        <v>#DIV/0!</v>
      </c>
      <c r="J66" s="45">
        <f t="shared" si="34"/>
        <v>0</v>
      </c>
      <c r="K66" s="72" t="e">
        <f t="shared" si="35"/>
        <v>#DIV/0!</v>
      </c>
      <c r="L66" s="43">
        <f t="shared" si="43"/>
        <v>0</v>
      </c>
      <c r="M66" s="43">
        <f t="shared" si="43"/>
        <v>0</v>
      </c>
      <c r="N66" s="43">
        <f t="shared" si="43"/>
        <v>0</v>
      </c>
      <c r="O66" s="43">
        <f t="shared" si="43"/>
        <v>0</v>
      </c>
      <c r="P66" s="43">
        <f t="shared" si="43"/>
        <v>0</v>
      </c>
      <c r="Q66" s="128">
        <f t="shared" si="43"/>
        <v>0</v>
      </c>
      <c r="R66" s="136" t="e">
        <f t="shared" si="37"/>
        <v>#DIV/0!</v>
      </c>
      <c r="S66" s="185">
        <f>SUM(S62,S64)</f>
        <v>0</v>
      </c>
      <c r="T66" s="82" t="e">
        <f t="shared" si="38"/>
        <v>#DIV/0!</v>
      </c>
      <c r="U66" s="77" t="e">
        <f t="shared" si="39"/>
        <v>#DIV/0!</v>
      </c>
      <c r="V66" s="43">
        <f>SUM(V62,V64)</f>
        <v>0</v>
      </c>
      <c r="W66" s="61" t="e">
        <f t="shared" si="40"/>
        <v>#DIV/0!</v>
      </c>
      <c r="X66" s="277"/>
      <c r="Y66" s="285"/>
      <c r="Z66" s="292"/>
    </row>
    <row r="67" spans="1:26" ht="9.75" customHeight="1">
      <c r="A67" s="319" t="s">
        <v>30</v>
      </c>
      <c r="B67" s="28" t="s">
        <v>51</v>
      </c>
      <c r="C67" s="21">
        <v>46843</v>
      </c>
      <c r="D67" s="21">
        <v>25648</v>
      </c>
      <c r="E67" s="62">
        <f t="shared" si="30"/>
        <v>54.753111457421596</v>
      </c>
      <c r="F67" s="33">
        <v>2669</v>
      </c>
      <c r="G67" s="62">
        <f t="shared" si="31"/>
        <v>10.406269494697442</v>
      </c>
      <c r="H67" s="18">
        <f t="shared" si="32"/>
        <v>10</v>
      </c>
      <c r="I67" s="73">
        <f t="shared" si="33"/>
        <v>0.37467216185837393</v>
      </c>
      <c r="J67" s="18">
        <f t="shared" si="34"/>
        <v>9</v>
      </c>
      <c r="K67" s="73">
        <f t="shared" si="35"/>
        <v>90</v>
      </c>
      <c r="L67" s="18">
        <v>4</v>
      </c>
      <c r="M67" s="18">
        <v>1</v>
      </c>
      <c r="N67" s="18">
        <v>0</v>
      </c>
      <c r="O67" s="18">
        <v>4</v>
      </c>
      <c r="P67" s="18">
        <v>0</v>
      </c>
      <c r="Q67" s="129">
        <v>1</v>
      </c>
      <c r="R67" s="137">
        <f t="shared" si="37"/>
        <v>0.03746721618583739</v>
      </c>
      <c r="S67" s="186">
        <v>1</v>
      </c>
      <c r="T67" s="83">
        <f aca="true" t="shared" si="44" ref="T67:T74">S67/F67*100</f>
        <v>0.03746721618583739</v>
      </c>
      <c r="U67" s="73">
        <f t="shared" si="39"/>
        <v>11.11111111111111</v>
      </c>
      <c r="V67" s="18">
        <v>655</v>
      </c>
      <c r="W67" s="62">
        <f t="shared" si="40"/>
        <v>20.293113606432385</v>
      </c>
      <c r="X67" s="278">
        <v>1638</v>
      </c>
      <c r="Y67" s="288">
        <v>3661</v>
      </c>
      <c r="Z67" s="299">
        <f>(F67+Y67-X67)/D67*100</f>
        <v>18.29382407985028</v>
      </c>
    </row>
    <row r="68" spans="1:26" ht="9.75" customHeight="1">
      <c r="A68" s="318"/>
      <c r="B68" s="30" t="s">
        <v>52</v>
      </c>
      <c r="C68" s="183"/>
      <c r="D68" s="183"/>
      <c r="E68" s="198"/>
      <c r="F68" s="34">
        <v>0</v>
      </c>
      <c r="G68" s="198"/>
      <c r="H68" s="19">
        <f t="shared" si="32"/>
        <v>0</v>
      </c>
      <c r="I68" s="74" t="e">
        <f t="shared" si="33"/>
        <v>#DIV/0!</v>
      </c>
      <c r="J68" s="19">
        <f t="shared" si="34"/>
        <v>0</v>
      </c>
      <c r="K68" s="74" t="e">
        <f t="shared" si="35"/>
        <v>#DIV/0!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30">
        <v>0</v>
      </c>
      <c r="R68" s="138" t="e">
        <f t="shared" si="37"/>
        <v>#DIV/0!</v>
      </c>
      <c r="S68" s="187">
        <v>0</v>
      </c>
      <c r="T68" s="84" t="e">
        <f t="shared" si="44"/>
        <v>#DIV/0!</v>
      </c>
      <c r="U68" s="74" t="e">
        <f t="shared" si="39"/>
        <v>#DIV/0!</v>
      </c>
      <c r="V68" s="19">
        <v>0</v>
      </c>
      <c r="W68" s="63" t="e">
        <f t="shared" si="40"/>
        <v>#DIV/0!</v>
      </c>
      <c r="X68" s="279"/>
      <c r="Y68" s="287"/>
      <c r="Z68" s="298"/>
    </row>
    <row r="69" spans="1:26" ht="9.75" customHeight="1">
      <c r="A69" s="317" t="s">
        <v>31</v>
      </c>
      <c r="B69" s="25" t="s">
        <v>51</v>
      </c>
      <c r="C69" s="15">
        <v>6298</v>
      </c>
      <c r="D69" s="15">
        <v>3627</v>
      </c>
      <c r="E69" s="62">
        <f>D69/C69*100</f>
        <v>57.58971101937122</v>
      </c>
      <c r="F69" s="33">
        <v>630</v>
      </c>
      <c r="G69" s="62">
        <f>F69/D69*100</f>
        <v>17.3697270471464</v>
      </c>
      <c r="H69" s="18">
        <f aca="true" t="shared" si="45" ref="H69:H74">SUM(L69:Q69)</f>
        <v>7</v>
      </c>
      <c r="I69" s="73">
        <f aca="true" t="shared" si="46" ref="I69:I74">H69/F69*100</f>
        <v>1.1111111111111112</v>
      </c>
      <c r="J69" s="18">
        <f aca="true" t="shared" si="47" ref="J69:J74">SUM(L69:O69)</f>
        <v>7</v>
      </c>
      <c r="K69" s="73">
        <f aca="true" t="shared" si="48" ref="K69:K74">J69/H69*100</f>
        <v>100</v>
      </c>
      <c r="L69" s="18">
        <v>0</v>
      </c>
      <c r="M69" s="18">
        <v>0</v>
      </c>
      <c r="N69" s="18">
        <v>0</v>
      </c>
      <c r="O69" s="18">
        <v>7</v>
      </c>
      <c r="P69" s="18">
        <v>0</v>
      </c>
      <c r="Q69" s="129">
        <v>0</v>
      </c>
      <c r="R69" s="137">
        <f aca="true" t="shared" si="49" ref="R69:R74">M69/F69*100</f>
        <v>0</v>
      </c>
      <c r="S69" s="186">
        <v>0</v>
      </c>
      <c r="T69" s="83">
        <f t="shared" si="44"/>
        <v>0</v>
      </c>
      <c r="U69" s="73">
        <f aca="true" t="shared" si="50" ref="U69:U74">M69/J69*100</f>
        <v>0</v>
      </c>
      <c r="V69" s="18">
        <v>53</v>
      </c>
      <c r="W69" s="62">
        <f aca="true" t="shared" si="51" ref="W69:W74">U69/E69*100</f>
        <v>0</v>
      </c>
      <c r="X69" s="278">
        <v>390</v>
      </c>
      <c r="Y69" s="288">
        <v>635</v>
      </c>
      <c r="Z69" s="299">
        <f>(F69+Y69-X69)/D69*100</f>
        <v>24.12462089881445</v>
      </c>
    </row>
    <row r="70" spans="1:26" ht="9.75" customHeight="1">
      <c r="A70" s="318"/>
      <c r="B70" s="28" t="s">
        <v>52</v>
      </c>
      <c r="C70" s="193"/>
      <c r="D70" s="193"/>
      <c r="E70" s="198"/>
      <c r="F70" s="34">
        <v>0</v>
      </c>
      <c r="G70" s="198"/>
      <c r="H70" s="19">
        <f t="shared" si="45"/>
        <v>0</v>
      </c>
      <c r="I70" s="74" t="e">
        <f t="shared" si="46"/>
        <v>#DIV/0!</v>
      </c>
      <c r="J70" s="19">
        <f t="shared" si="47"/>
        <v>0</v>
      </c>
      <c r="K70" s="74" t="e">
        <f t="shared" si="48"/>
        <v>#DIV/0!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30">
        <v>0</v>
      </c>
      <c r="R70" s="138" t="e">
        <f t="shared" si="49"/>
        <v>#DIV/0!</v>
      </c>
      <c r="S70" s="187">
        <v>0</v>
      </c>
      <c r="T70" s="84" t="e">
        <f t="shared" si="44"/>
        <v>#DIV/0!</v>
      </c>
      <c r="U70" s="74" t="e">
        <f t="shared" si="50"/>
        <v>#DIV/0!</v>
      </c>
      <c r="V70" s="19">
        <v>0</v>
      </c>
      <c r="W70" s="63" t="e">
        <f t="shared" si="51"/>
        <v>#DIV/0!</v>
      </c>
      <c r="X70" s="279"/>
      <c r="Y70" s="287"/>
      <c r="Z70" s="298"/>
    </row>
    <row r="71" spans="1:26" ht="9.75" customHeight="1">
      <c r="A71" s="317" t="s">
        <v>32</v>
      </c>
      <c r="B71" s="26" t="s">
        <v>51</v>
      </c>
      <c r="C71" s="18">
        <v>2523</v>
      </c>
      <c r="D71" s="18">
        <v>835</v>
      </c>
      <c r="E71" s="62">
        <f>D71/C71*100</f>
        <v>33.09552120491478</v>
      </c>
      <c r="F71" s="33">
        <v>222</v>
      </c>
      <c r="G71" s="62">
        <f>F71/D71*100</f>
        <v>26.586826347305387</v>
      </c>
      <c r="H71" s="18">
        <f t="shared" si="45"/>
        <v>0</v>
      </c>
      <c r="I71" s="73">
        <f t="shared" si="46"/>
        <v>0</v>
      </c>
      <c r="J71" s="18">
        <f t="shared" si="47"/>
        <v>0</v>
      </c>
      <c r="K71" s="73" t="e">
        <f t="shared" si="48"/>
        <v>#DIV/0!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29">
        <v>0</v>
      </c>
      <c r="R71" s="137">
        <f t="shared" si="49"/>
        <v>0</v>
      </c>
      <c r="S71" s="186">
        <v>0</v>
      </c>
      <c r="T71" s="83">
        <f t="shared" si="44"/>
        <v>0</v>
      </c>
      <c r="U71" s="73" t="e">
        <f t="shared" si="50"/>
        <v>#DIV/0!</v>
      </c>
      <c r="V71" s="18">
        <v>39</v>
      </c>
      <c r="W71" s="62" t="e">
        <f t="shared" si="51"/>
        <v>#DIV/0!</v>
      </c>
      <c r="X71" s="278">
        <v>159</v>
      </c>
      <c r="Y71" s="288">
        <v>236</v>
      </c>
      <c r="Z71" s="299">
        <f>(F71+Y71-X71)/D71*100</f>
        <v>35.808383233532936</v>
      </c>
    </row>
    <row r="72" spans="1:26" ht="9.75" customHeight="1">
      <c r="A72" s="318"/>
      <c r="B72" s="30" t="s">
        <v>52</v>
      </c>
      <c r="C72" s="183"/>
      <c r="D72" s="183"/>
      <c r="E72" s="198"/>
      <c r="F72" s="34">
        <v>0</v>
      </c>
      <c r="G72" s="198"/>
      <c r="H72" s="19">
        <f t="shared" si="45"/>
        <v>0</v>
      </c>
      <c r="I72" s="74" t="e">
        <f t="shared" si="46"/>
        <v>#DIV/0!</v>
      </c>
      <c r="J72" s="19">
        <f t="shared" si="47"/>
        <v>0</v>
      </c>
      <c r="K72" s="74" t="e">
        <f t="shared" si="48"/>
        <v>#DIV/0!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30">
        <v>0</v>
      </c>
      <c r="R72" s="138" t="e">
        <f t="shared" si="49"/>
        <v>#DIV/0!</v>
      </c>
      <c r="S72" s="187">
        <v>0</v>
      </c>
      <c r="T72" s="84" t="e">
        <f t="shared" si="44"/>
        <v>#DIV/0!</v>
      </c>
      <c r="U72" s="74" t="e">
        <f t="shared" si="50"/>
        <v>#DIV/0!</v>
      </c>
      <c r="V72" s="19">
        <v>0</v>
      </c>
      <c r="W72" s="63" t="e">
        <f t="shared" si="51"/>
        <v>#DIV/0!</v>
      </c>
      <c r="X72" s="279"/>
      <c r="Y72" s="287"/>
      <c r="Z72" s="298"/>
    </row>
    <row r="73" spans="1:26" ht="9.75" customHeight="1">
      <c r="A73" s="317" t="s">
        <v>33</v>
      </c>
      <c r="B73" s="25" t="s">
        <v>51</v>
      </c>
      <c r="C73" s="15">
        <v>7456</v>
      </c>
      <c r="D73" s="15">
        <v>1168</v>
      </c>
      <c r="E73" s="62">
        <f>D73/C73*100</f>
        <v>15.665236051502147</v>
      </c>
      <c r="F73" s="33">
        <v>764</v>
      </c>
      <c r="G73" s="62">
        <f>F73/D73*100</f>
        <v>65.41095890410958</v>
      </c>
      <c r="H73" s="18">
        <f t="shared" si="45"/>
        <v>12</v>
      </c>
      <c r="I73" s="73">
        <f t="shared" si="46"/>
        <v>1.5706806282722512</v>
      </c>
      <c r="J73" s="18">
        <f t="shared" si="47"/>
        <v>11</v>
      </c>
      <c r="K73" s="73">
        <f t="shared" si="48"/>
        <v>91.66666666666666</v>
      </c>
      <c r="L73" s="18">
        <v>8</v>
      </c>
      <c r="M73" s="18">
        <v>0</v>
      </c>
      <c r="N73" s="18">
        <v>1</v>
      </c>
      <c r="O73" s="18">
        <v>2</v>
      </c>
      <c r="P73" s="18">
        <v>0</v>
      </c>
      <c r="Q73" s="129">
        <v>1</v>
      </c>
      <c r="R73" s="137">
        <f t="shared" si="49"/>
        <v>0</v>
      </c>
      <c r="S73" s="186">
        <v>0</v>
      </c>
      <c r="T73" s="83">
        <f t="shared" si="44"/>
        <v>0</v>
      </c>
      <c r="U73" s="73">
        <f t="shared" si="50"/>
        <v>0</v>
      </c>
      <c r="V73" s="18">
        <v>83</v>
      </c>
      <c r="W73" s="62">
        <f t="shared" si="51"/>
        <v>0</v>
      </c>
      <c r="X73" s="278">
        <v>519</v>
      </c>
      <c r="Y73" s="288">
        <v>756</v>
      </c>
      <c r="Z73" s="299">
        <f>(F73+Y73-X73)/D73*100</f>
        <v>85.70205479452055</v>
      </c>
    </row>
    <row r="74" spans="1:26" ht="9.75" customHeight="1" thickBot="1">
      <c r="A74" s="319"/>
      <c r="B74" s="28" t="s">
        <v>52</v>
      </c>
      <c r="C74" s="194"/>
      <c r="D74" s="194"/>
      <c r="E74" s="198"/>
      <c r="F74" s="34">
        <v>0</v>
      </c>
      <c r="G74" s="198"/>
      <c r="H74" s="19">
        <f t="shared" si="45"/>
        <v>0</v>
      </c>
      <c r="I74" s="74" t="e">
        <f t="shared" si="46"/>
        <v>#DIV/0!</v>
      </c>
      <c r="J74" s="19">
        <f t="shared" si="47"/>
        <v>0</v>
      </c>
      <c r="K74" s="74" t="e">
        <f t="shared" si="48"/>
        <v>#DIV/0!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30">
        <v>0</v>
      </c>
      <c r="R74" s="138" t="e">
        <f t="shared" si="49"/>
        <v>#DIV/0!</v>
      </c>
      <c r="S74" s="187">
        <v>0</v>
      </c>
      <c r="T74" s="84" t="e">
        <f t="shared" si="44"/>
        <v>#DIV/0!</v>
      </c>
      <c r="U74" s="74" t="e">
        <f t="shared" si="50"/>
        <v>#DIV/0!</v>
      </c>
      <c r="V74" s="19">
        <v>0</v>
      </c>
      <c r="W74" s="63" t="e">
        <f t="shared" si="51"/>
        <v>#DIV/0!</v>
      </c>
      <c r="X74" s="279"/>
      <c r="Y74" s="287"/>
      <c r="Z74" s="298"/>
    </row>
    <row r="75" spans="1:26" ht="9.75" customHeight="1">
      <c r="A75" s="311" t="s">
        <v>48</v>
      </c>
      <c r="B75" s="50" t="s">
        <v>51</v>
      </c>
      <c r="C75" s="51">
        <f>SUM(C67,C69,C71,C73)</f>
        <v>63120</v>
      </c>
      <c r="D75" s="51">
        <f>SUM(D67,D69,D71,D73)</f>
        <v>31278</v>
      </c>
      <c r="E75" s="65">
        <f>D75/C75*100</f>
        <v>49.5532319391635</v>
      </c>
      <c r="F75" s="52">
        <f>SUM(F67,F69,F71,F73)</f>
        <v>4285</v>
      </c>
      <c r="G75" s="123">
        <f>F75/D75*100</f>
        <v>13.699725046358463</v>
      </c>
      <c r="H75" s="124">
        <f>SUM(L75:Q75)</f>
        <v>29</v>
      </c>
      <c r="I75" s="125">
        <f>H75/F75*100</f>
        <v>0.676779463243874</v>
      </c>
      <c r="J75" s="126">
        <f>SUM(L75:O75)</f>
        <v>27</v>
      </c>
      <c r="K75" s="125">
        <f>J75/H75*100</f>
        <v>93.10344827586206</v>
      </c>
      <c r="L75" s="51">
        <f aca="true" t="shared" si="52" ref="L75:Q76">SUM(L67,L69,L71,L73)</f>
        <v>12</v>
      </c>
      <c r="M75" s="51">
        <f t="shared" si="52"/>
        <v>1</v>
      </c>
      <c r="N75" s="51">
        <f t="shared" si="52"/>
        <v>1</v>
      </c>
      <c r="O75" s="51">
        <f t="shared" si="52"/>
        <v>13</v>
      </c>
      <c r="P75" s="51">
        <f t="shared" si="52"/>
        <v>0</v>
      </c>
      <c r="Q75" s="133">
        <f t="shared" si="52"/>
        <v>2</v>
      </c>
      <c r="R75" s="135">
        <f>M75/F75*100</f>
        <v>0.023337222870478413</v>
      </c>
      <c r="S75" s="190">
        <f>SUM(S67,S69,S71,S73)</f>
        <v>1</v>
      </c>
      <c r="T75" s="85">
        <f>S75/F75*100</f>
        <v>0.023337222870478413</v>
      </c>
      <c r="U75" s="76">
        <f>M75/J75*100</f>
        <v>3.7037037037037033</v>
      </c>
      <c r="V75" s="51">
        <f>SUM(V67,V69,V71,V73)</f>
        <v>830</v>
      </c>
      <c r="W75" s="65">
        <f>U75/E75*100</f>
        <v>7.474192012845378</v>
      </c>
      <c r="X75" s="282">
        <f>SUM(X67,X69,X71,X73)</f>
        <v>2706</v>
      </c>
      <c r="Y75" s="282">
        <f>SUM(Y67,Y69,Y71,Y73)</f>
        <v>5288</v>
      </c>
      <c r="Z75" s="291">
        <f>(F75+Y75-X75)/D75*100</f>
        <v>21.954728563207365</v>
      </c>
    </row>
    <row r="76" spans="1:26" ht="9.75" customHeight="1" thickBot="1">
      <c r="A76" s="312"/>
      <c r="B76" s="53" t="s">
        <v>52</v>
      </c>
      <c r="C76" s="196"/>
      <c r="D76" s="196"/>
      <c r="E76" s="197"/>
      <c r="F76" s="55">
        <f>SUM(F68,F70,F72,F74)</f>
        <v>0</v>
      </c>
      <c r="G76" s="216"/>
      <c r="H76" s="44">
        <f>SUM(L76:Q76)</f>
        <v>0</v>
      </c>
      <c r="I76" s="72" t="e">
        <f>H76/F76*100</f>
        <v>#DIV/0!</v>
      </c>
      <c r="J76" s="45">
        <f>SUM(L76:O76)</f>
        <v>0</v>
      </c>
      <c r="K76" s="72" t="e">
        <f>J76/H76*100</f>
        <v>#DIV/0!</v>
      </c>
      <c r="L76" s="54">
        <f t="shared" si="52"/>
        <v>0</v>
      </c>
      <c r="M76" s="54">
        <f t="shared" si="52"/>
        <v>0</v>
      </c>
      <c r="N76" s="54">
        <f t="shared" si="52"/>
        <v>0</v>
      </c>
      <c r="O76" s="54">
        <f t="shared" si="52"/>
        <v>0</v>
      </c>
      <c r="P76" s="54">
        <f t="shared" si="52"/>
        <v>0</v>
      </c>
      <c r="Q76" s="134">
        <f t="shared" si="52"/>
        <v>0</v>
      </c>
      <c r="R76" s="136" t="e">
        <f>M76/F76*100</f>
        <v>#DIV/0!</v>
      </c>
      <c r="S76" s="191">
        <f>SUM(S68,S70,S72,S74)</f>
        <v>0</v>
      </c>
      <c r="T76" s="82" t="e">
        <f>S76/F76*100</f>
        <v>#DIV/0!</v>
      </c>
      <c r="U76" s="77" t="e">
        <f>M76/J76*100</f>
        <v>#DIV/0!</v>
      </c>
      <c r="V76" s="54">
        <f>SUM(V68,V70,V72,V74)</f>
        <v>0</v>
      </c>
      <c r="W76" s="61" t="e">
        <f>U76/E76*100</f>
        <v>#DIV/0!</v>
      </c>
      <c r="X76" s="283"/>
      <c r="Y76" s="285"/>
      <c r="Z76" s="292"/>
    </row>
    <row r="77" spans="1:26" ht="9.75" customHeight="1">
      <c r="A77" s="307" t="s">
        <v>100</v>
      </c>
      <c r="B77" s="29" t="s">
        <v>51</v>
      </c>
      <c r="C77" s="22">
        <v>14537</v>
      </c>
      <c r="D77" s="22">
        <v>2341</v>
      </c>
      <c r="E77" s="62">
        <f>D77/C77*100</f>
        <v>16.10373529614088</v>
      </c>
      <c r="F77" s="33">
        <v>1464</v>
      </c>
      <c r="G77" s="62">
        <f>F77/D77*100</f>
        <v>62.537377189235364</v>
      </c>
      <c r="H77" s="18">
        <f>SUM(L77:Q77)</f>
        <v>0</v>
      </c>
      <c r="I77" s="73">
        <f>H77/F77*100</f>
        <v>0</v>
      </c>
      <c r="J77" s="18">
        <f>SUM(L77:O77)</f>
        <v>0</v>
      </c>
      <c r="K77" s="73" t="e">
        <f>J77/H77*100</f>
        <v>#DIV/0!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29">
        <v>0</v>
      </c>
      <c r="R77" s="137">
        <f>M77/F77*100</f>
        <v>0</v>
      </c>
      <c r="S77" s="186">
        <v>0</v>
      </c>
      <c r="T77" s="83">
        <f aca="true" t="shared" si="53" ref="T77:T84">S77/F77*100</f>
        <v>0</v>
      </c>
      <c r="U77" s="73" t="e">
        <f>M77/J77*100</f>
        <v>#DIV/0!</v>
      </c>
      <c r="V77" s="18">
        <v>229</v>
      </c>
      <c r="W77" s="62" t="e">
        <f>U77/E77*100</f>
        <v>#DIV/0!</v>
      </c>
      <c r="X77" s="278">
        <v>1077</v>
      </c>
      <c r="Y77" s="288">
        <v>1559</v>
      </c>
      <c r="Z77" s="299">
        <f>(F77+Y77-X77)/D77*100</f>
        <v>83.12686885946177</v>
      </c>
    </row>
    <row r="78" spans="1:26" ht="9.75" customHeight="1">
      <c r="A78" s="308"/>
      <c r="B78" s="28" t="s">
        <v>52</v>
      </c>
      <c r="C78" s="193"/>
      <c r="D78" s="193"/>
      <c r="E78" s="198"/>
      <c r="F78" s="34">
        <v>0</v>
      </c>
      <c r="G78" s="198"/>
      <c r="H78" s="19">
        <f>SUM(L78:Q78)</f>
        <v>0</v>
      </c>
      <c r="I78" s="74" t="e">
        <f>H78/F78*100</f>
        <v>#DIV/0!</v>
      </c>
      <c r="J78" s="19">
        <f>SUM(L78:O78)</f>
        <v>0</v>
      </c>
      <c r="K78" s="74" t="e">
        <f>J78/H78*100</f>
        <v>#DIV/0!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30">
        <v>0</v>
      </c>
      <c r="R78" s="138" t="e">
        <f>M78/F78*100</f>
        <v>#DIV/0!</v>
      </c>
      <c r="S78" s="187">
        <v>0</v>
      </c>
      <c r="T78" s="84" t="e">
        <f t="shared" si="53"/>
        <v>#DIV/0!</v>
      </c>
      <c r="U78" s="74" t="e">
        <f>M78/J78*100</f>
        <v>#DIV/0!</v>
      </c>
      <c r="V78" s="19">
        <v>0</v>
      </c>
      <c r="W78" s="63" t="e">
        <f>U78/E78*100</f>
        <v>#DIV/0!</v>
      </c>
      <c r="X78" s="279"/>
      <c r="Y78" s="287"/>
      <c r="Z78" s="298"/>
    </row>
    <row r="79" spans="1:26" ht="9.75" customHeight="1">
      <c r="A79" s="317" t="s">
        <v>34</v>
      </c>
      <c r="B79" s="25" t="s">
        <v>51</v>
      </c>
      <c r="C79" s="15">
        <v>4901</v>
      </c>
      <c r="D79" s="15">
        <v>1339</v>
      </c>
      <c r="E79" s="62">
        <f>D79/C79*100</f>
        <v>27.320954907161806</v>
      </c>
      <c r="F79" s="33">
        <v>694</v>
      </c>
      <c r="G79" s="62">
        <f>F79/D79*100</f>
        <v>51.829723674383864</v>
      </c>
      <c r="H79" s="18">
        <f aca="true" t="shared" si="54" ref="H79:H84">SUM(L79:Q79)</f>
        <v>3</v>
      </c>
      <c r="I79" s="73">
        <f aca="true" t="shared" si="55" ref="I79:I84">H79/F79*100</f>
        <v>0.43227665706051877</v>
      </c>
      <c r="J79" s="18">
        <f aca="true" t="shared" si="56" ref="J79:J84">SUM(L79:O79)</f>
        <v>3</v>
      </c>
      <c r="K79" s="73">
        <f aca="true" t="shared" si="57" ref="K79:K84">J79/H79*100</f>
        <v>100</v>
      </c>
      <c r="L79" s="18">
        <v>1</v>
      </c>
      <c r="M79" s="18">
        <v>1</v>
      </c>
      <c r="N79" s="18">
        <v>0</v>
      </c>
      <c r="O79" s="18">
        <v>1</v>
      </c>
      <c r="P79" s="18">
        <v>0</v>
      </c>
      <c r="Q79" s="129">
        <v>0</v>
      </c>
      <c r="R79" s="137">
        <f aca="true" t="shared" si="58" ref="R79:R84">M79/F79*100</f>
        <v>0.1440922190201729</v>
      </c>
      <c r="S79" s="186">
        <v>1</v>
      </c>
      <c r="T79" s="83">
        <f t="shared" si="53"/>
        <v>0.1440922190201729</v>
      </c>
      <c r="U79" s="73">
        <f aca="true" t="shared" si="59" ref="U79:U84">M79/J79*100</f>
        <v>33.33333333333333</v>
      </c>
      <c r="V79" s="18">
        <v>136</v>
      </c>
      <c r="W79" s="62">
        <f aca="true" t="shared" si="60" ref="W79:W84">U79/E79*100</f>
        <v>122.00647249190936</v>
      </c>
      <c r="X79" s="278">
        <v>495</v>
      </c>
      <c r="Y79" s="288">
        <v>587</v>
      </c>
      <c r="Z79" s="299">
        <f>(F79+Y79-X79)/D79*100</f>
        <v>58.70052277819268</v>
      </c>
    </row>
    <row r="80" spans="1:26" ht="9.75" customHeight="1">
      <c r="A80" s="318"/>
      <c r="B80" s="28" t="s">
        <v>52</v>
      </c>
      <c r="C80" s="193"/>
      <c r="D80" s="193"/>
      <c r="E80" s="198"/>
      <c r="F80" s="34">
        <v>0</v>
      </c>
      <c r="G80" s="198"/>
      <c r="H80" s="19">
        <f t="shared" si="54"/>
        <v>0</v>
      </c>
      <c r="I80" s="74" t="e">
        <f t="shared" si="55"/>
        <v>#DIV/0!</v>
      </c>
      <c r="J80" s="19">
        <f t="shared" si="56"/>
        <v>0</v>
      </c>
      <c r="K80" s="74" t="e">
        <f t="shared" si="57"/>
        <v>#DIV/0!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30">
        <v>0</v>
      </c>
      <c r="R80" s="138" t="e">
        <f t="shared" si="58"/>
        <v>#DIV/0!</v>
      </c>
      <c r="S80" s="187">
        <v>0</v>
      </c>
      <c r="T80" s="84" t="e">
        <f t="shared" si="53"/>
        <v>#DIV/0!</v>
      </c>
      <c r="U80" s="74" t="e">
        <f t="shared" si="59"/>
        <v>#DIV/0!</v>
      </c>
      <c r="V80" s="19">
        <v>0</v>
      </c>
      <c r="W80" s="63" t="e">
        <f t="shared" si="60"/>
        <v>#DIV/0!</v>
      </c>
      <c r="X80" s="279"/>
      <c r="Y80" s="287"/>
      <c r="Z80" s="298"/>
    </row>
    <row r="81" spans="1:26" ht="9.75" customHeight="1">
      <c r="A81" s="317" t="s">
        <v>35</v>
      </c>
      <c r="B81" s="26" t="s">
        <v>51</v>
      </c>
      <c r="C81" s="18">
        <v>2880</v>
      </c>
      <c r="D81" s="18">
        <v>644</v>
      </c>
      <c r="E81" s="62">
        <f>D81/C81*100</f>
        <v>22.36111111111111</v>
      </c>
      <c r="F81" s="33">
        <v>495</v>
      </c>
      <c r="G81" s="62">
        <f>F81/D81*100</f>
        <v>76.86335403726709</v>
      </c>
      <c r="H81" s="18">
        <f t="shared" si="54"/>
        <v>2</v>
      </c>
      <c r="I81" s="73">
        <f t="shared" si="55"/>
        <v>0.40404040404040403</v>
      </c>
      <c r="J81" s="18">
        <f t="shared" si="56"/>
        <v>2</v>
      </c>
      <c r="K81" s="73">
        <f t="shared" si="57"/>
        <v>100</v>
      </c>
      <c r="L81" s="18">
        <v>2</v>
      </c>
      <c r="M81" s="18">
        <v>0</v>
      </c>
      <c r="N81" s="18">
        <v>0</v>
      </c>
      <c r="O81" s="18">
        <v>0</v>
      </c>
      <c r="P81" s="18">
        <v>0</v>
      </c>
      <c r="Q81" s="129">
        <v>0</v>
      </c>
      <c r="R81" s="137">
        <f t="shared" si="58"/>
        <v>0</v>
      </c>
      <c r="S81" s="186">
        <v>0</v>
      </c>
      <c r="T81" s="83">
        <f>S81/F81*100</f>
        <v>0</v>
      </c>
      <c r="U81" s="73">
        <f t="shared" si="59"/>
        <v>0</v>
      </c>
      <c r="V81" s="18">
        <v>53</v>
      </c>
      <c r="W81" s="62">
        <f t="shared" si="60"/>
        <v>0</v>
      </c>
      <c r="X81" s="278">
        <v>366</v>
      </c>
      <c r="Y81" s="288">
        <v>533</v>
      </c>
      <c r="Z81" s="299">
        <f>(F81+Y81-X81)/D81*100</f>
        <v>102.79503105590062</v>
      </c>
    </row>
    <row r="82" spans="1:26" ht="9.75" customHeight="1">
      <c r="A82" s="318"/>
      <c r="B82" s="30" t="s">
        <v>52</v>
      </c>
      <c r="C82" s="183"/>
      <c r="D82" s="183"/>
      <c r="E82" s="198"/>
      <c r="F82" s="34">
        <v>0</v>
      </c>
      <c r="G82" s="198"/>
      <c r="H82" s="19">
        <f t="shared" si="54"/>
        <v>0</v>
      </c>
      <c r="I82" s="74" t="e">
        <f t="shared" si="55"/>
        <v>#DIV/0!</v>
      </c>
      <c r="J82" s="19">
        <f t="shared" si="56"/>
        <v>0</v>
      </c>
      <c r="K82" s="74" t="e">
        <f t="shared" si="57"/>
        <v>#DIV/0!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30">
        <v>0</v>
      </c>
      <c r="R82" s="138" t="e">
        <f t="shared" si="58"/>
        <v>#DIV/0!</v>
      </c>
      <c r="S82" s="187">
        <v>0</v>
      </c>
      <c r="T82" s="84" t="e">
        <f t="shared" si="53"/>
        <v>#DIV/0!</v>
      </c>
      <c r="U82" s="74" t="e">
        <f t="shared" si="59"/>
        <v>#DIV/0!</v>
      </c>
      <c r="V82" s="19">
        <v>0</v>
      </c>
      <c r="W82" s="63" t="e">
        <f t="shared" si="60"/>
        <v>#DIV/0!</v>
      </c>
      <c r="X82" s="279"/>
      <c r="Y82" s="287"/>
      <c r="Z82" s="298"/>
    </row>
    <row r="83" spans="1:26" ht="9.75" customHeight="1">
      <c r="A83" s="317" t="s">
        <v>36</v>
      </c>
      <c r="B83" s="25" t="s">
        <v>51</v>
      </c>
      <c r="C83" s="15">
        <v>724</v>
      </c>
      <c r="D83" s="15">
        <v>125</v>
      </c>
      <c r="E83" s="62">
        <f>D83/C83*100</f>
        <v>17.265193370165747</v>
      </c>
      <c r="F83" s="33">
        <v>92</v>
      </c>
      <c r="G83" s="62">
        <f>F83/D83*100</f>
        <v>73.6</v>
      </c>
      <c r="H83" s="18">
        <f t="shared" si="54"/>
        <v>2</v>
      </c>
      <c r="I83" s="73">
        <f t="shared" si="55"/>
        <v>2.1739130434782608</v>
      </c>
      <c r="J83" s="18">
        <f t="shared" si="56"/>
        <v>1</v>
      </c>
      <c r="K83" s="73">
        <f t="shared" si="57"/>
        <v>50</v>
      </c>
      <c r="L83" s="18">
        <v>1</v>
      </c>
      <c r="M83" s="18">
        <v>0</v>
      </c>
      <c r="N83" s="18">
        <v>0</v>
      </c>
      <c r="O83" s="18">
        <v>0</v>
      </c>
      <c r="P83" s="18">
        <v>0</v>
      </c>
      <c r="Q83" s="129">
        <v>1</v>
      </c>
      <c r="R83" s="137">
        <f t="shared" si="58"/>
        <v>0</v>
      </c>
      <c r="S83" s="186">
        <v>0</v>
      </c>
      <c r="T83" s="83">
        <f t="shared" si="53"/>
        <v>0</v>
      </c>
      <c r="U83" s="73">
        <f t="shared" si="59"/>
        <v>0</v>
      </c>
      <c r="V83" s="18">
        <v>12</v>
      </c>
      <c r="W83" s="62">
        <f t="shared" si="60"/>
        <v>0</v>
      </c>
      <c r="X83" s="278">
        <v>51</v>
      </c>
      <c r="Y83" s="288">
        <v>84</v>
      </c>
      <c r="Z83" s="299">
        <f>(F83+Y83-X83)/D83*100</f>
        <v>100</v>
      </c>
    </row>
    <row r="84" spans="1:26" ht="9.75" customHeight="1" thickBot="1">
      <c r="A84" s="320"/>
      <c r="B84" s="229" t="s">
        <v>52</v>
      </c>
      <c r="C84" s="192"/>
      <c r="D84" s="192"/>
      <c r="E84" s="230"/>
      <c r="F84" s="231">
        <v>0</v>
      </c>
      <c r="G84" s="230"/>
      <c r="H84" s="232">
        <f t="shared" si="54"/>
        <v>0</v>
      </c>
      <c r="I84" s="233" t="e">
        <f t="shared" si="55"/>
        <v>#DIV/0!</v>
      </c>
      <c r="J84" s="232">
        <f t="shared" si="56"/>
        <v>0</v>
      </c>
      <c r="K84" s="233" t="e">
        <f t="shared" si="57"/>
        <v>#DIV/0!</v>
      </c>
      <c r="L84" s="232">
        <v>0</v>
      </c>
      <c r="M84" s="232">
        <v>0</v>
      </c>
      <c r="N84" s="232">
        <v>0</v>
      </c>
      <c r="O84" s="232">
        <v>0</v>
      </c>
      <c r="P84" s="232">
        <v>0</v>
      </c>
      <c r="Q84" s="234">
        <v>0</v>
      </c>
      <c r="R84" s="235" t="e">
        <f t="shared" si="58"/>
        <v>#DIV/0!</v>
      </c>
      <c r="S84" s="236">
        <v>0</v>
      </c>
      <c r="T84" s="237" t="e">
        <f t="shared" si="53"/>
        <v>#DIV/0!</v>
      </c>
      <c r="U84" s="233" t="e">
        <f t="shared" si="59"/>
        <v>#DIV/0!</v>
      </c>
      <c r="V84" s="232">
        <v>0</v>
      </c>
      <c r="W84" s="238" t="e">
        <f t="shared" si="60"/>
        <v>#DIV/0!</v>
      </c>
      <c r="X84" s="283"/>
      <c r="Y84" s="287"/>
      <c r="Z84" s="298"/>
    </row>
    <row r="85" spans="1:26" ht="9.75" customHeight="1">
      <c r="A85" s="311" t="s">
        <v>49</v>
      </c>
      <c r="B85" s="50" t="s">
        <v>51</v>
      </c>
      <c r="C85" s="51">
        <f>SUM(C77,C79,C81,C83)</f>
        <v>23042</v>
      </c>
      <c r="D85" s="51">
        <f>SUM(D77,D79,D81,D83)</f>
        <v>4449</v>
      </c>
      <c r="E85" s="65">
        <f>D85/C85*100</f>
        <v>19.308219772589187</v>
      </c>
      <c r="F85" s="52">
        <f>SUM(F77,F79,F81,F83)</f>
        <v>2745</v>
      </c>
      <c r="G85" s="123">
        <f>F85/D85*100</f>
        <v>61.69925826028321</v>
      </c>
      <c r="H85" s="124">
        <f>SUM(L85:Q85)</f>
        <v>7</v>
      </c>
      <c r="I85" s="125">
        <f>H85/F85*100</f>
        <v>0.2550091074681239</v>
      </c>
      <c r="J85" s="126">
        <f>SUM(L85:O85)</f>
        <v>6</v>
      </c>
      <c r="K85" s="125">
        <f>J85/H85*100</f>
        <v>85.71428571428571</v>
      </c>
      <c r="L85" s="51">
        <f aca="true" t="shared" si="61" ref="L85:Q86">SUM(L77,L79,L81,L83)</f>
        <v>4</v>
      </c>
      <c r="M85" s="51">
        <f t="shared" si="61"/>
        <v>1</v>
      </c>
      <c r="N85" s="51">
        <f t="shared" si="61"/>
        <v>0</v>
      </c>
      <c r="O85" s="51">
        <f t="shared" si="61"/>
        <v>1</v>
      </c>
      <c r="P85" s="51">
        <f t="shared" si="61"/>
        <v>0</v>
      </c>
      <c r="Q85" s="133">
        <f t="shared" si="61"/>
        <v>1</v>
      </c>
      <c r="R85" s="135">
        <f>M85/F85*100</f>
        <v>0.03642987249544627</v>
      </c>
      <c r="S85" s="190">
        <f>SUM(S77,S79,S81,S83)</f>
        <v>1</v>
      </c>
      <c r="T85" s="85">
        <f>S85/F85*100</f>
        <v>0.03642987249544627</v>
      </c>
      <c r="U85" s="76">
        <f>M85/J85*100</f>
        <v>16.666666666666664</v>
      </c>
      <c r="V85" s="51">
        <f>SUM(V77,V79,V81,V83)</f>
        <v>430</v>
      </c>
      <c r="W85" s="65">
        <f>U85/E85*100</f>
        <v>86.31902300142352</v>
      </c>
      <c r="X85" s="282">
        <f>SUM(X77,X79,X81,X83)</f>
        <v>1989</v>
      </c>
      <c r="Y85" s="282">
        <f>SUM(Y77,Y79,Y81,Y83)</f>
        <v>2763</v>
      </c>
      <c r="Z85" s="291">
        <f>(F85+Y85-X85)/D85*100</f>
        <v>79.09642616318274</v>
      </c>
    </row>
    <row r="86" spans="1:26" ht="9.75" customHeight="1" thickBot="1">
      <c r="A86" s="312"/>
      <c r="B86" s="53" t="s">
        <v>52</v>
      </c>
      <c r="C86" s="196"/>
      <c r="D86" s="196"/>
      <c r="E86" s="197"/>
      <c r="F86" s="55">
        <f>SUM(F78,F80,F82,F84)</f>
        <v>0</v>
      </c>
      <c r="G86" s="216"/>
      <c r="H86" s="44">
        <f>SUM(L86:Q86)</f>
        <v>0</v>
      </c>
      <c r="I86" s="72" t="e">
        <f>H86/F86*100</f>
        <v>#DIV/0!</v>
      </c>
      <c r="J86" s="45">
        <f>SUM(L86:O86)</f>
        <v>0</v>
      </c>
      <c r="K86" s="72" t="e">
        <f>J86/H86*100</f>
        <v>#DIV/0!</v>
      </c>
      <c r="L86" s="54">
        <f t="shared" si="61"/>
        <v>0</v>
      </c>
      <c r="M86" s="54">
        <f t="shared" si="61"/>
        <v>0</v>
      </c>
      <c r="N86" s="54">
        <f t="shared" si="61"/>
        <v>0</v>
      </c>
      <c r="O86" s="54">
        <f t="shared" si="61"/>
        <v>0</v>
      </c>
      <c r="P86" s="54">
        <f t="shared" si="61"/>
        <v>0</v>
      </c>
      <c r="Q86" s="134">
        <f t="shared" si="61"/>
        <v>0</v>
      </c>
      <c r="R86" s="136" t="e">
        <f>M86/F86*100</f>
        <v>#DIV/0!</v>
      </c>
      <c r="S86" s="191">
        <f>SUM(S78,S80,S82,S84)</f>
        <v>0</v>
      </c>
      <c r="T86" s="82" t="e">
        <f>S86/F86*100</f>
        <v>#DIV/0!</v>
      </c>
      <c r="U86" s="77" t="e">
        <f>M86/J86*100</f>
        <v>#DIV/0!</v>
      </c>
      <c r="V86" s="54">
        <f>SUM(V78,V80,V82,V84)</f>
        <v>0</v>
      </c>
      <c r="W86" s="61" t="e">
        <f>U86/E86*100</f>
        <v>#DIV/0!</v>
      </c>
      <c r="X86" s="283"/>
      <c r="Y86" s="285"/>
      <c r="Z86" s="292"/>
    </row>
    <row r="87" spans="19:26" ht="9.75" customHeight="1">
      <c r="S87" s="31"/>
      <c r="X87" s="31"/>
      <c r="Y87" s="31"/>
      <c r="Z87" s="296"/>
    </row>
    <row r="88" spans="19:26" ht="9.75" customHeight="1">
      <c r="S88" s="31"/>
      <c r="X88" s="31"/>
      <c r="Y88" s="31"/>
      <c r="Z88" s="296"/>
    </row>
    <row r="89" spans="19:26" ht="9.75" customHeight="1">
      <c r="S89" s="31"/>
      <c r="X89" s="31"/>
      <c r="Y89" s="31"/>
      <c r="Z89" s="31"/>
    </row>
    <row r="90" spans="19:26" ht="9.75" customHeight="1">
      <c r="S90" s="31"/>
      <c r="X90" s="31"/>
      <c r="Y90" s="31"/>
      <c r="Z90" s="31"/>
    </row>
    <row r="91" spans="19:26" ht="9.75" customHeight="1">
      <c r="S91" s="31"/>
      <c r="X91" s="31"/>
      <c r="Y91" s="31"/>
      <c r="Z91" s="31"/>
    </row>
    <row r="92" spans="19:26" ht="9.75" customHeight="1">
      <c r="S92" s="31"/>
      <c r="X92" s="31"/>
      <c r="Y92" s="31"/>
      <c r="Z92" s="31"/>
    </row>
    <row r="93" spans="19:26" ht="9.75" customHeight="1">
      <c r="S93" s="31"/>
      <c r="X93" s="31"/>
      <c r="Y93" s="31"/>
      <c r="Z93" s="31"/>
    </row>
    <row r="94" spans="19:26" ht="9.75" customHeight="1">
      <c r="S94" s="31"/>
      <c r="X94" s="31"/>
      <c r="Y94" s="31"/>
      <c r="Z94" s="31"/>
    </row>
    <row r="95" spans="19:26" ht="9.75" customHeight="1">
      <c r="S95" s="31"/>
      <c r="X95" s="31"/>
      <c r="Y95" s="31"/>
      <c r="Z95" s="31"/>
    </row>
    <row r="96" spans="19:26" ht="9.75" customHeight="1">
      <c r="S96" s="31"/>
      <c r="X96" s="31"/>
      <c r="Y96" s="31"/>
      <c r="Z96" s="31"/>
    </row>
    <row r="97" spans="19:26" ht="9.75" customHeight="1">
      <c r="S97" s="31"/>
      <c r="X97" s="31"/>
      <c r="Y97" s="31"/>
      <c r="Z97" s="31"/>
    </row>
    <row r="98" spans="19:26" ht="9.75" customHeight="1">
      <c r="S98" s="31"/>
      <c r="X98" s="31"/>
      <c r="Y98" s="31"/>
      <c r="Z98" s="31"/>
    </row>
    <row r="99" spans="19:26" ht="9.75" customHeight="1">
      <c r="S99" s="31"/>
      <c r="X99" s="31"/>
      <c r="Y99" s="31"/>
      <c r="Z99" s="31"/>
    </row>
    <row r="100" spans="19:26" ht="9.75" customHeight="1">
      <c r="S100" s="31"/>
      <c r="X100" s="31"/>
      <c r="Y100" s="31"/>
      <c r="Z100" s="31"/>
    </row>
    <row r="101" spans="19:26" ht="9.75" customHeight="1">
      <c r="S101" s="31"/>
      <c r="X101" s="31"/>
      <c r="Y101" s="31"/>
      <c r="Z101" s="31"/>
    </row>
    <row r="102" spans="24:26" ht="9.75" customHeight="1">
      <c r="X102" s="31"/>
      <c r="Y102" s="31"/>
      <c r="Z102" s="31"/>
    </row>
    <row r="103" spans="24:26" ht="9.75" customHeight="1">
      <c r="X103" s="31"/>
      <c r="Y103" s="31"/>
      <c r="Z103" s="31"/>
    </row>
  </sheetData>
  <mergeCells count="48">
    <mergeCell ref="A85:A86"/>
    <mergeCell ref="A2:B4"/>
    <mergeCell ref="A69:A70"/>
    <mergeCell ref="A25:A26"/>
    <mergeCell ref="A33:A34"/>
    <mergeCell ref="A39:A40"/>
    <mergeCell ref="A51:A52"/>
    <mergeCell ref="A65:A66"/>
    <mergeCell ref="A77:A78"/>
    <mergeCell ref="A5:A6"/>
    <mergeCell ref="A83:A84"/>
    <mergeCell ref="A81:A82"/>
    <mergeCell ref="A79:A80"/>
    <mergeCell ref="A49:A50"/>
    <mergeCell ref="A73:A74"/>
    <mergeCell ref="A71:A72"/>
    <mergeCell ref="A75:A76"/>
    <mergeCell ref="A67:A68"/>
    <mergeCell ref="A63:A64"/>
    <mergeCell ref="A53:A54"/>
    <mergeCell ref="A61:A62"/>
    <mergeCell ref="A57:A58"/>
    <mergeCell ref="A55:A56"/>
    <mergeCell ref="A59:A60"/>
    <mergeCell ref="A47:A48"/>
    <mergeCell ref="A45:A46"/>
    <mergeCell ref="A19:A20"/>
    <mergeCell ref="A43:A44"/>
    <mergeCell ref="A41:A42"/>
    <mergeCell ref="A37:A38"/>
    <mergeCell ref="A35:A36"/>
    <mergeCell ref="A31:A32"/>
    <mergeCell ref="A29:A30"/>
    <mergeCell ref="A27:A28"/>
    <mergeCell ref="V2:W2"/>
    <mergeCell ref="A7:A8"/>
    <mergeCell ref="L2:O2"/>
    <mergeCell ref="R2:T2"/>
    <mergeCell ref="Y2:Z2"/>
    <mergeCell ref="A23:A24"/>
    <mergeCell ref="A21:A22"/>
    <mergeCell ref="F2:I2"/>
    <mergeCell ref="J2:K2"/>
    <mergeCell ref="A17:A18"/>
    <mergeCell ref="A15:A16"/>
    <mergeCell ref="A9:A10"/>
    <mergeCell ref="A11:A12"/>
    <mergeCell ref="A13:A14"/>
  </mergeCells>
  <printOptions/>
  <pageMargins left="0.7874015748031497" right="0.3937007874015748" top="0.7874015748031497" bottom="0.7874015748031497" header="0" footer="0"/>
  <pageSetup horizontalDpi="600" verticalDpi="600" orientation="landscape" paperSize="9" scale="80" r:id="rId1"/>
  <rowBreaks count="1" manualBreakCount="1">
    <brk id="66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view="pageBreakPreview" zoomScale="125" zoomScaleNormal="75" zoomScaleSheetLayoutView="125" workbookViewId="0" topLeftCell="A1">
      <pane xSplit="3" ySplit="4" topLeftCell="Q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Z23" sqref="Z23"/>
    </sheetView>
  </sheetViews>
  <sheetFormatPr defaultColWidth="9.00390625" defaultRowHeight="9.75" customHeight="1"/>
  <cols>
    <col min="1" max="1" width="3.625" style="14" customWidth="1"/>
    <col min="2" max="2" width="6.625" style="14" customWidth="1"/>
    <col min="3" max="3" width="4.625" style="14" customWidth="1"/>
    <col min="4" max="4" width="7.625" style="13" customWidth="1"/>
    <col min="5" max="5" width="6.625" style="13" customWidth="1"/>
    <col min="6" max="6" width="6.125" style="56" customWidth="1"/>
    <col min="7" max="7" width="6.125" style="13" customWidth="1"/>
    <col min="8" max="8" width="4.625" style="56" customWidth="1"/>
    <col min="9" max="9" width="5.625" style="13" customWidth="1"/>
    <col min="10" max="10" width="5.625" style="56" customWidth="1"/>
    <col min="11" max="11" width="6.125" style="13" customWidth="1"/>
    <col min="12" max="12" width="5.625" style="56" customWidth="1"/>
    <col min="13" max="15" width="6.125" style="13" customWidth="1"/>
    <col min="16" max="16" width="7.125" style="13" customWidth="1"/>
    <col min="17" max="17" width="5.625" style="13" customWidth="1"/>
    <col min="18" max="18" width="6.125" style="13" customWidth="1"/>
    <col min="19" max="21" width="5.625" style="78" customWidth="1"/>
    <col min="22" max="22" width="5.625" style="56" customWidth="1"/>
    <col min="23" max="24" width="6.125" style="13" customWidth="1"/>
    <col min="25" max="25" width="7.25390625" style="56" bestFit="1" customWidth="1"/>
    <col min="26" max="26" width="6.125" style="14" customWidth="1"/>
    <col min="27" max="27" width="7.00390625" style="14" bestFit="1" customWidth="1"/>
    <col min="28" max="28" width="11.625" style="14" customWidth="1"/>
    <col min="29" max="16384" width="9.00390625" style="14" customWidth="1"/>
  </cols>
  <sheetData>
    <row r="1" spans="1:24" ht="15" customHeight="1" thickBot="1">
      <c r="A1" s="23" t="s">
        <v>102</v>
      </c>
      <c r="B1" s="24"/>
      <c r="C1" s="13"/>
      <c r="E1" s="56"/>
      <c r="G1" s="56"/>
      <c r="I1" s="56"/>
      <c r="K1" s="56"/>
      <c r="R1" s="78"/>
      <c r="W1" s="56"/>
      <c r="X1" s="56"/>
    </row>
    <row r="2" spans="1:27" ht="9.75" customHeight="1">
      <c r="A2" s="88"/>
      <c r="B2" s="89"/>
      <c r="C2" s="89"/>
      <c r="D2" s="1"/>
      <c r="E2" s="1"/>
      <c r="F2" s="57"/>
      <c r="G2" s="309" t="s">
        <v>53</v>
      </c>
      <c r="H2" s="310"/>
      <c r="I2" s="310"/>
      <c r="J2" s="310"/>
      <c r="K2" s="310" t="s">
        <v>54</v>
      </c>
      <c r="L2" s="310"/>
      <c r="M2" s="310" t="s">
        <v>55</v>
      </c>
      <c r="N2" s="310"/>
      <c r="O2" s="310"/>
      <c r="P2" s="310"/>
      <c r="Q2" s="2"/>
      <c r="R2" s="3"/>
      <c r="S2" s="314" t="s">
        <v>109</v>
      </c>
      <c r="T2" s="315"/>
      <c r="U2" s="316"/>
      <c r="V2" s="86"/>
      <c r="W2" s="304" t="s">
        <v>0</v>
      </c>
      <c r="X2" s="332"/>
      <c r="Y2" s="290"/>
      <c r="Z2" s="304" t="s">
        <v>118</v>
      </c>
      <c r="AA2" s="305"/>
    </row>
    <row r="3" spans="1:27" ht="30" customHeight="1">
      <c r="A3" s="90"/>
      <c r="B3" s="91"/>
      <c r="C3" s="91"/>
      <c r="D3" s="5" t="s">
        <v>56</v>
      </c>
      <c r="E3" s="5" t="s">
        <v>57</v>
      </c>
      <c r="F3" s="58" t="s">
        <v>58</v>
      </c>
      <c r="G3" s="6" t="s">
        <v>59</v>
      </c>
      <c r="H3" s="92" t="s">
        <v>60</v>
      </c>
      <c r="I3" s="5" t="s">
        <v>61</v>
      </c>
      <c r="J3" s="69" t="s">
        <v>62</v>
      </c>
      <c r="K3" s="5" t="s">
        <v>63</v>
      </c>
      <c r="L3" s="69" t="s">
        <v>60</v>
      </c>
      <c r="M3" s="5" t="s">
        <v>64</v>
      </c>
      <c r="N3" s="5" t="s">
        <v>65</v>
      </c>
      <c r="O3" s="5" t="s">
        <v>66</v>
      </c>
      <c r="P3" s="5" t="s">
        <v>67</v>
      </c>
      <c r="Q3" s="5" t="s">
        <v>68</v>
      </c>
      <c r="R3" s="141" t="s">
        <v>69</v>
      </c>
      <c r="S3" s="172" t="s">
        <v>70</v>
      </c>
      <c r="T3" s="79" t="s">
        <v>103</v>
      </c>
      <c r="U3" s="79" t="s">
        <v>105</v>
      </c>
      <c r="V3" s="69" t="s">
        <v>71</v>
      </c>
      <c r="W3" s="5" t="s">
        <v>72</v>
      </c>
      <c r="X3" s="92" t="s">
        <v>73</v>
      </c>
      <c r="Y3" s="289" t="s">
        <v>113</v>
      </c>
      <c r="Z3" s="250" t="s">
        <v>116</v>
      </c>
      <c r="AA3" s="252" t="s">
        <v>60</v>
      </c>
    </row>
    <row r="4" spans="1:27" ht="9.75" customHeight="1" thickBot="1">
      <c r="A4" s="93"/>
      <c r="B4" s="94"/>
      <c r="C4" s="94"/>
      <c r="D4" s="9" t="s">
        <v>74</v>
      </c>
      <c r="E4" s="10" t="s">
        <v>75</v>
      </c>
      <c r="F4" s="59" t="s">
        <v>76</v>
      </c>
      <c r="G4" s="11" t="s">
        <v>77</v>
      </c>
      <c r="H4" s="70" t="s">
        <v>78</v>
      </c>
      <c r="I4" s="9" t="s">
        <v>79</v>
      </c>
      <c r="J4" s="70" t="s">
        <v>80</v>
      </c>
      <c r="K4" s="9" t="s">
        <v>81</v>
      </c>
      <c r="L4" s="70" t="s">
        <v>82</v>
      </c>
      <c r="M4" s="9"/>
      <c r="N4" s="9" t="s">
        <v>83</v>
      </c>
      <c r="O4" s="9"/>
      <c r="P4" s="9"/>
      <c r="Q4" s="9"/>
      <c r="R4" s="166"/>
      <c r="S4" s="173" t="s">
        <v>84</v>
      </c>
      <c r="T4" s="80" t="s">
        <v>104</v>
      </c>
      <c r="U4" s="80" t="s">
        <v>106</v>
      </c>
      <c r="V4" s="70" t="s">
        <v>85</v>
      </c>
      <c r="W4" s="10" t="s">
        <v>110</v>
      </c>
      <c r="X4" s="143" t="s">
        <v>111</v>
      </c>
      <c r="Y4" s="239" t="s">
        <v>114</v>
      </c>
      <c r="Z4" s="251" t="s">
        <v>115</v>
      </c>
      <c r="AA4" s="253" t="s">
        <v>117</v>
      </c>
    </row>
    <row r="5" spans="1:27" ht="9.75" customHeight="1">
      <c r="A5" s="329" t="s">
        <v>1</v>
      </c>
      <c r="B5" s="102" t="s">
        <v>86</v>
      </c>
      <c r="C5" s="102"/>
      <c r="D5" s="101">
        <f>20521+13430+2764+2515+2373+4151+832+841+1189+3721+1236</f>
        <v>53573</v>
      </c>
      <c r="E5" s="101">
        <f>2037+5662+1041+735+780+1433+581+256+1330+61</f>
        <v>13916</v>
      </c>
      <c r="F5" s="113">
        <f>E5/D5*100</f>
        <v>25.97577137737293</v>
      </c>
      <c r="G5" s="103">
        <f>60+185+26+5+11+63+3+6+11+3</f>
        <v>373</v>
      </c>
      <c r="H5" s="116">
        <f>G5/E5*100</f>
        <v>2.6803679218166137</v>
      </c>
      <c r="I5" s="100">
        <f>SUM(M5:R5)</f>
        <v>8</v>
      </c>
      <c r="J5" s="116">
        <f>I5/G5*100</f>
        <v>2.1447721179624666</v>
      </c>
      <c r="K5" s="100">
        <f>SUM(M5:P5)</f>
        <v>6</v>
      </c>
      <c r="L5" s="116">
        <f>K5/I5*100</f>
        <v>75</v>
      </c>
      <c r="M5" s="100">
        <f>2+1</f>
        <v>3</v>
      </c>
      <c r="N5" s="100">
        <v>0</v>
      </c>
      <c r="O5" s="100">
        <v>0</v>
      </c>
      <c r="P5" s="100">
        <f>1+2</f>
        <v>3</v>
      </c>
      <c r="Q5" s="100">
        <f>1+1</f>
        <v>2</v>
      </c>
      <c r="R5" s="167">
        <v>0</v>
      </c>
      <c r="S5" s="174">
        <f>N5/G5*100</f>
        <v>0</v>
      </c>
      <c r="T5" s="217">
        <v>0</v>
      </c>
      <c r="U5" s="121">
        <f>T5/G5*100</f>
        <v>0</v>
      </c>
      <c r="V5" s="116">
        <f>N5/K5*100</f>
        <v>0</v>
      </c>
      <c r="W5" s="101">
        <f>60+184+18+4+11+6+3+6+8+3</f>
        <v>303</v>
      </c>
      <c r="X5" s="114">
        <f>W5/G5*100</f>
        <v>81.23324396782841</v>
      </c>
      <c r="Y5" s="240">
        <f>1+2+2</f>
        <v>5</v>
      </c>
      <c r="Z5" s="146">
        <v>69</v>
      </c>
      <c r="AA5" s="256">
        <f>(G5+Z5-Y5)/E5*100</f>
        <v>3.1402701925840755</v>
      </c>
    </row>
    <row r="6" spans="1:27" ht="9.75" customHeight="1">
      <c r="A6" s="330"/>
      <c r="B6" s="104" t="s">
        <v>37</v>
      </c>
      <c r="C6" s="104"/>
      <c r="D6" s="105">
        <f>21940+14382+2978+2541+2441+3686+721+694+1177+4097+1186</f>
        <v>55843</v>
      </c>
      <c r="E6" s="105">
        <f>4011+5190+856+458+691+1093+460+340+1318+112</f>
        <v>14529</v>
      </c>
      <c r="F6" s="111">
        <f>E6/D6*100</f>
        <v>26.01758501513171</v>
      </c>
      <c r="G6" s="106">
        <f>42+432+74+18+25+114+2+8+8+47+34</f>
        <v>804</v>
      </c>
      <c r="H6" s="114">
        <f>G6/E6*100</f>
        <v>5.5337600660747475</v>
      </c>
      <c r="I6" s="107">
        <f>SUM(M6:R6)</f>
        <v>19</v>
      </c>
      <c r="J6" s="114">
        <f>I6/G6*100</f>
        <v>2.36318407960199</v>
      </c>
      <c r="K6" s="107">
        <f>SUM(M6:P6)</f>
        <v>14</v>
      </c>
      <c r="L6" s="114">
        <f>K6/I6*100</f>
        <v>73.68421052631578</v>
      </c>
      <c r="M6" s="107">
        <f>1+2+1+1</f>
        <v>5</v>
      </c>
      <c r="N6" s="107">
        <v>1</v>
      </c>
      <c r="O6" s="107">
        <v>2</v>
      </c>
      <c r="P6" s="107">
        <f>2+1+1+1+1</f>
        <v>6</v>
      </c>
      <c r="Q6" s="107">
        <v>2</v>
      </c>
      <c r="R6" s="168">
        <f>3</f>
        <v>3</v>
      </c>
      <c r="S6" s="175">
        <f>N6/G6*100</f>
        <v>0.12437810945273632</v>
      </c>
      <c r="T6" s="218">
        <v>1</v>
      </c>
      <c r="U6" s="119">
        <f>T6/G6*100</f>
        <v>0.12437810945273632</v>
      </c>
      <c r="V6" s="114">
        <f>N6/K6*100</f>
        <v>7.142857142857142</v>
      </c>
      <c r="W6" s="105">
        <f>42+424+46+12+19+9+2+8+6+28+28</f>
        <v>624</v>
      </c>
      <c r="X6" s="114">
        <f>W6/G6*100</f>
        <v>77.61194029850746</v>
      </c>
      <c r="Y6" s="241">
        <f>5+13+5+5+2+2+11+5</f>
        <v>48</v>
      </c>
      <c r="Z6" s="105">
        <v>263</v>
      </c>
      <c r="AA6" s="257">
        <f aca="true" t="shared" si="0" ref="AA6:AA18">(G6+Z6-Y6)/E6*100</f>
        <v>7.013559088719114</v>
      </c>
    </row>
    <row r="7" spans="1:27" ht="9.75" customHeight="1">
      <c r="A7" s="330"/>
      <c r="B7" s="104" t="s">
        <v>2</v>
      </c>
      <c r="C7" s="108"/>
      <c r="D7" s="105">
        <f>26720+17739+3705+3009+2893+4540+764+804+1287+4595+1368</f>
        <v>67424</v>
      </c>
      <c r="E7" s="105">
        <f>12030+7594+1332+735+1020+1710+287+497+404+1681+234</f>
        <v>27524</v>
      </c>
      <c r="F7" s="111">
        <f aca="true" t="shared" si="1" ref="F7:F17">E7/D7*100</f>
        <v>40.82225913621262</v>
      </c>
      <c r="G7" s="106">
        <f>1267+1103+225+128+91+252+34+26+56+157+116</f>
        <v>3455</v>
      </c>
      <c r="H7" s="114">
        <f aca="true" t="shared" si="2" ref="H7:H17">G7/E7*100</f>
        <v>12.55268129632321</v>
      </c>
      <c r="I7" s="107">
        <f aca="true" t="shared" si="3" ref="I7:I17">SUM(M7:R7)</f>
        <v>52</v>
      </c>
      <c r="J7" s="114">
        <f aca="true" t="shared" si="4" ref="J7:J36">I7/G7*100</f>
        <v>1.5050651230101302</v>
      </c>
      <c r="K7" s="107">
        <f aca="true" t="shared" si="5" ref="K7:K17">SUM(M7:P7)</f>
        <v>42</v>
      </c>
      <c r="L7" s="114">
        <f aca="true" t="shared" si="6" ref="L7:L36">K7/I7*100</f>
        <v>80.76923076923077</v>
      </c>
      <c r="M7" s="107">
        <f>7+3+2+1+2</f>
        <v>15</v>
      </c>
      <c r="N7" s="107">
        <f>2+1+1</f>
        <v>4</v>
      </c>
      <c r="O7" s="107">
        <f>1+2+1</f>
        <v>4</v>
      </c>
      <c r="P7" s="107">
        <f>9+5+2+3</f>
        <v>19</v>
      </c>
      <c r="Q7" s="107">
        <v>5</v>
      </c>
      <c r="R7" s="168">
        <f>1+3+1</f>
        <v>5</v>
      </c>
      <c r="S7" s="175">
        <f aca="true" t="shared" si="7" ref="S7:S36">N7/G7*100</f>
        <v>0.11577424023154848</v>
      </c>
      <c r="T7" s="218">
        <f>1+1</f>
        <v>2</v>
      </c>
      <c r="U7" s="119">
        <f aca="true" t="shared" si="8" ref="U7:U36">T7/G7*100</f>
        <v>0.05788712011577424</v>
      </c>
      <c r="V7" s="114">
        <f aca="true" t="shared" si="9" ref="V7:V36">N7/K7*100</f>
        <v>9.523809523809524</v>
      </c>
      <c r="W7" s="105">
        <f>808+824+90+60+52+67+16+14+33+62+60</f>
        <v>2086</v>
      </c>
      <c r="X7" s="114">
        <f>W7/G7*100</f>
        <v>60.37626628075253</v>
      </c>
      <c r="Y7" s="241">
        <f>369+220+75+61+32+34+13+7+14+58+42</f>
        <v>925</v>
      </c>
      <c r="Z7" s="105">
        <v>3352</v>
      </c>
      <c r="AA7" s="257">
        <f t="shared" si="0"/>
        <v>21.370440342973403</v>
      </c>
    </row>
    <row r="8" spans="1:27" ht="9.75" customHeight="1">
      <c r="A8" s="330"/>
      <c r="B8" s="104" t="s">
        <v>3</v>
      </c>
      <c r="C8" s="108"/>
      <c r="D8" s="105">
        <f>26568+17800+3366+3061+2421+4880+775+759+1204+4120+1248</f>
        <v>66202</v>
      </c>
      <c r="E8" s="105">
        <f>12066+5791+1203+970+794+1648+294+384+300+1319+230</f>
        <v>24999</v>
      </c>
      <c r="F8" s="111">
        <f t="shared" si="1"/>
        <v>37.761699042325006</v>
      </c>
      <c r="G8" s="106">
        <f>1999+1352+354+233+142+347+48+44+53+258+108</f>
        <v>4938</v>
      </c>
      <c r="H8" s="114">
        <f t="shared" si="2"/>
        <v>19.752790111604465</v>
      </c>
      <c r="I8" s="107">
        <f t="shared" si="3"/>
        <v>66</v>
      </c>
      <c r="J8" s="114">
        <f t="shared" si="4"/>
        <v>1.336573511543135</v>
      </c>
      <c r="K8" s="107">
        <f t="shared" si="5"/>
        <v>48</v>
      </c>
      <c r="L8" s="114">
        <f t="shared" si="6"/>
        <v>72.72727272727273</v>
      </c>
      <c r="M8" s="107">
        <f>2+6+3+2+1+2</f>
        <v>16</v>
      </c>
      <c r="N8" s="107">
        <f>2+1+1+2+1+1</f>
        <v>8</v>
      </c>
      <c r="O8" s="107">
        <v>1</v>
      </c>
      <c r="P8" s="107">
        <f>12+6+2+1+1+1</f>
        <v>23</v>
      </c>
      <c r="Q8" s="107">
        <f>12+1</f>
        <v>13</v>
      </c>
      <c r="R8" s="168">
        <f>1+3+1</f>
        <v>5</v>
      </c>
      <c r="S8" s="175">
        <f t="shared" si="7"/>
        <v>0.16200891049007696</v>
      </c>
      <c r="T8" s="218">
        <f>1+2+1+1</f>
        <v>5</v>
      </c>
      <c r="U8" s="119">
        <f t="shared" si="8"/>
        <v>0.1012555690562981</v>
      </c>
      <c r="V8" s="114">
        <f t="shared" si="9"/>
        <v>16.666666666666664</v>
      </c>
      <c r="W8" s="105">
        <f>793+677+82+42+52+66+13+16+18+87+34</f>
        <v>1880</v>
      </c>
      <c r="X8" s="114">
        <f aca="true" t="shared" si="10" ref="X8:X36">W8/G8*100</f>
        <v>38.07209396516809</v>
      </c>
      <c r="Y8" s="241">
        <f>926+486+183+135+68+123+21+18+23+118+53</f>
        <v>2154</v>
      </c>
      <c r="Z8" s="105">
        <v>4841</v>
      </c>
      <c r="AA8" s="257">
        <f t="shared" si="0"/>
        <v>30.50122004880195</v>
      </c>
    </row>
    <row r="9" spans="1:27" ht="9.75" customHeight="1">
      <c r="A9" s="330"/>
      <c r="B9" s="104" t="s">
        <v>4</v>
      </c>
      <c r="C9" s="108"/>
      <c r="D9" s="105">
        <f>21757+13956+3229+2755+2257+4446+740+756+1201+3911+1234</f>
        <v>56242</v>
      </c>
      <c r="E9" s="105">
        <f>8067+4096+850+813+708+1403+242+298+240+1028+207</f>
        <v>17952</v>
      </c>
      <c r="F9" s="111">
        <f t="shared" si="1"/>
        <v>31.919206287116392</v>
      </c>
      <c r="G9" s="106">
        <f>2078+902+341+289+110+328+38+59+51+290+113</f>
        <v>4599</v>
      </c>
      <c r="H9" s="114">
        <f t="shared" si="2"/>
        <v>25.61831550802139</v>
      </c>
      <c r="I9" s="107">
        <f t="shared" si="3"/>
        <v>46</v>
      </c>
      <c r="J9" s="114">
        <f t="shared" si="4"/>
        <v>1.000217438573603</v>
      </c>
      <c r="K9" s="107">
        <f t="shared" si="5"/>
        <v>36</v>
      </c>
      <c r="L9" s="114">
        <f t="shared" si="6"/>
        <v>78.26086956521739</v>
      </c>
      <c r="M9" s="107">
        <f>6+5+1</f>
        <v>12</v>
      </c>
      <c r="N9" s="107">
        <f>2+1</f>
        <v>3</v>
      </c>
      <c r="O9" s="107">
        <v>2</v>
      </c>
      <c r="P9" s="107">
        <f>9+3+2+4+1</f>
        <v>19</v>
      </c>
      <c r="Q9" s="107">
        <v>7</v>
      </c>
      <c r="R9" s="168">
        <f>2+1</f>
        <v>3</v>
      </c>
      <c r="S9" s="175">
        <f t="shared" si="7"/>
        <v>0.06523157208088715</v>
      </c>
      <c r="T9" s="218">
        <v>1</v>
      </c>
      <c r="U9" s="119">
        <f t="shared" si="8"/>
        <v>0.021743857360295715</v>
      </c>
      <c r="V9" s="114">
        <f t="shared" si="9"/>
        <v>8.333333333333332</v>
      </c>
      <c r="W9" s="105">
        <f>746+369+76+72+28+96+8+16+13+81+27</f>
        <v>1532</v>
      </c>
      <c r="X9" s="114">
        <f t="shared" si="10"/>
        <v>33.31158947597304</v>
      </c>
      <c r="Y9" s="241">
        <f>1069+398+213+186+53+120+22+30+30+146+68</f>
        <v>2335</v>
      </c>
      <c r="Z9" s="105">
        <v>4510</v>
      </c>
      <c r="AA9" s="257">
        <f t="shared" si="0"/>
        <v>37.73395721925134</v>
      </c>
    </row>
    <row r="10" spans="1:27" ht="9.75" customHeight="1">
      <c r="A10" s="330"/>
      <c r="B10" s="104" t="s">
        <v>5</v>
      </c>
      <c r="C10" s="108"/>
      <c r="D10" s="105">
        <f>20618+13051+3456+2854+2416+4548+883+985+1447+4434+1355</f>
        <v>56047</v>
      </c>
      <c r="E10" s="105">
        <f>7076+3785+869+768+703+1433+269+318+239+998+178</f>
        <v>16636</v>
      </c>
      <c r="F10" s="111">
        <f t="shared" si="1"/>
        <v>29.682230984709264</v>
      </c>
      <c r="G10" s="106">
        <f>1996+846+386+289+118+282+33+76+56+313+102</f>
        <v>4497</v>
      </c>
      <c r="H10" s="114">
        <f t="shared" si="2"/>
        <v>27.03173839865352</v>
      </c>
      <c r="I10" s="107">
        <f t="shared" si="3"/>
        <v>52</v>
      </c>
      <c r="J10" s="114">
        <f t="shared" si="4"/>
        <v>1.156326439848788</v>
      </c>
      <c r="K10" s="107">
        <f t="shared" si="5"/>
        <v>39</v>
      </c>
      <c r="L10" s="114">
        <f t="shared" si="6"/>
        <v>75</v>
      </c>
      <c r="M10" s="107">
        <f>5+3+1+1+1+1+2</f>
        <v>14</v>
      </c>
      <c r="N10" s="107">
        <v>1</v>
      </c>
      <c r="O10" s="107">
        <v>2</v>
      </c>
      <c r="P10" s="107">
        <f>11+4+2+1+1+1+1+1</f>
        <v>22</v>
      </c>
      <c r="Q10" s="107">
        <f>10+1+1</f>
        <v>12</v>
      </c>
      <c r="R10" s="168">
        <v>1</v>
      </c>
      <c r="S10" s="175">
        <f t="shared" si="7"/>
        <v>0.022237046920169</v>
      </c>
      <c r="T10" s="218">
        <v>0</v>
      </c>
      <c r="U10" s="119">
        <f t="shared" si="8"/>
        <v>0</v>
      </c>
      <c r="V10" s="114">
        <f t="shared" si="9"/>
        <v>2.564102564102564</v>
      </c>
      <c r="W10" s="105">
        <f>568+342+61+48+20+64+4+21+13+85+25</f>
        <v>1251</v>
      </c>
      <c r="X10" s="114">
        <f t="shared" si="10"/>
        <v>27.81854569713142</v>
      </c>
      <c r="Y10" s="241">
        <f>1149+380+259+189+65+130+25+40+37+169+61</f>
        <v>2504</v>
      </c>
      <c r="Z10" s="105">
        <v>4535</v>
      </c>
      <c r="AA10" s="257">
        <f t="shared" si="0"/>
        <v>39.2402019716278</v>
      </c>
    </row>
    <row r="11" spans="1:27" ht="9.75" customHeight="1">
      <c r="A11" s="330"/>
      <c r="B11" s="104" t="s">
        <v>6</v>
      </c>
      <c r="C11" s="108"/>
      <c r="D11" s="105">
        <f>20233+13706+4018+3266+2638+5240+1095+1126+1703+4841+1626</f>
        <v>59492</v>
      </c>
      <c r="E11" s="105">
        <f>8076+5328+1256+852+879+1841+346+368+463+1301+250</f>
        <v>20960</v>
      </c>
      <c r="F11" s="111">
        <f t="shared" si="1"/>
        <v>35.23162778188664</v>
      </c>
      <c r="G11" s="106">
        <f>1782+756+392+283+130+357+41+85+87+339+147</f>
        <v>4399</v>
      </c>
      <c r="H11" s="114">
        <f t="shared" si="2"/>
        <v>20.987595419847327</v>
      </c>
      <c r="I11" s="107">
        <f t="shared" si="3"/>
        <v>36</v>
      </c>
      <c r="J11" s="114">
        <f t="shared" si="4"/>
        <v>0.8183678108661059</v>
      </c>
      <c r="K11" s="107">
        <f t="shared" si="5"/>
        <v>30</v>
      </c>
      <c r="L11" s="114">
        <f t="shared" si="6"/>
        <v>83.33333333333334</v>
      </c>
      <c r="M11" s="107">
        <f>10+1+1+1+1+1</f>
        <v>15</v>
      </c>
      <c r="N11" s="107">
        <f>1+1+1</f>
        <v>3</v>
      </c>
      <c r="O11" s="107">
        <f>4+1</f>
        <v>5</v>
      </c>
      <c r="P11" s="107">
        <f>2+1+1+1+1+1</f>
        <v>7</v>
      </c>
      <c r="Q11" s="107">
        <f>3+1</f>
        <v>4</v>
      </c>
      <c r="R11" s="168">
        <f>1+1</f>
        <v>2</v>
      </c>
      <c r="S11" s="175">
        <f t="shared" si="7"/>
        <v>0.0681973175721755</v>
      </c>
      <c r="T11" s="218">
        <f>1+1</f>
        <v>2</v>
      </c>
      <c r="U11" s="119">
        <f t="shared" si="8"/>
        <v>0.04546487838145033</v>
      </c>
      <c r="V11" s="114">
        <f t="shared" si="9"/>
        <v>10</v>
      </c>
      <c r="W11" s="105">
        <f>489+294+66+42+30+66+3+16+21+82+33</f>
        <v>1142</v>
      </c>
      <c r="X11" s="114">
        <f t="shared" si="10"/>
        <v>25.960445555808136</v>
      </c>
      <c r="Y11" s="241">
        <f>1079+369+263+202+72+179+26+52+46+174+94</f>
        <v>2556</v>
      </c>
      <c r="Z11" s="105">
        <v>4388</v>
      </c>
      <c r="AA11" s="257">
        <f t="shared" si="0"/>
        <v>29.728053435114504</v>
      </c>
    </row>
    <row r="12" spans="1:27" ht="9.75" customHeight="1">
      <c r="A12" s="330"/>
      <c r="B12" s="104" t="s">
        <v>7</v>
      </c>
      <c r="C12" s="108"/>
      <c r="D12" s="105">
        <f>25799+18556+5427+4621+3337+6543+1282+1327+2103+5731+2068</f>
        <v>76794</v>
      </c>
      <c r="E12" s="105">
        <f>12113+8895+2323+1557+1479+2932+513+553+729+1980+378</f>
        <v>33452</v>
      </c>
      <c r="F12" s="111">
        <f t="shared" si="1"/>
        <v>43.56069484595151</v>
      </c>
      <c r="G12" s="106">
        <f>1881+1008+680+516+220+556+105+178+151+478+250</f>
        <v>6023</v>
      </c>
      <c r="H12" s="114">
        <f t="shared" si="2"/>
        <v>18.004902546932918</v>
      </c>
      <c r="I12" s="107">
        <f t="shared" si="3"/>
        <v>22</v>
      </c>
      <c r="J12" s="114">
        <f t="shared" si="4"/>
        <v>0.36526647849908683</v>
      </c>
      <c r="K12" s="107">
        <f t="shared" si="5"/>
        <v>18</v>
      </c>
      <c r="L12" s="114">
        <f t="shared" si="6"/>
        <v>81.81818181818183</v>
      </c>
      <c r="M12" s="107">
        <f>2+3+2+2+2</f>
        <v>11</v>
      </c>
      <c r="N12" s="107">
        <v>1</v>
      </c>
      <c r="O12" s="107">
        <v>1</v>
      </c>
      <c r="P12" s="107">
        <f>4+1</f>
        <v>5</v>
      </c>
      <c r="Q12" s="107">
        <f>2+2</f>
        <v>4</v>
      </c>
      <c r="R12" s="168">
        <v>0</v>
      </c>
      <c r="S12" s="175">
        <f t="shared" si="7"/>
        <v>0.016603021749958494</v>
      </c>
      <c r="T12" s="218">
        <v>0</v>
      </c>
      <c r="U12" s="119">
        <f t="shared" si="8"/>
        <v>0</v>
      </c>
      <c r="V12" s="114">
        <f t="shared" si="9"/>
        <v>5.555555555555555</v>
      </c>
      <c r="W12" s="105">
        <f>497+347+82+59+38+95+13+28+31+114+56</f>
        <v>1360</v>
      </c>
      <c r="X12" s="114">
        <f t="shared" si="10"/>
        <v>22.58010957994355</v>
      </c>
      <c r="Y12" s="241">
        <f>1166+538+484+370+133+286+72+118+96+300+154</f>
        <v>3717</v>
      </c>
      <c r="Z12" s="105">
        <v>6825</v>
      </c>
      <c r="AA12" s="257">
        <f t="shared" si="0"/>
        <v>27.295826856391248</v>
      </c>
    </row>
    <row r="13" spans="1:27" ht="9.75" customHeight="1">
      <c r="A13" s="330"/>
      <c r="B13" s="104" t="s">
        <v>8</v>
      </c>
      <c r="C13" s="108"/>
      <c r="D13" s="105">
        <f>23358+17482+4840+4112+2771+6492+1214+1279+1849+4797+1736</f>
        <v>69930</v>
      </c>
      <c r="E13" s="105">
        <f>15166+11119+3267+2101+1793+3562+588+659+1182+2624+484</f>
        <v>42545</v>
      </c>
      <c r="F13" s="111">
        <f t="shared" si="1"/>
        <v>60.83941083941083</v>
      </c>
      <c r="G13" s="106">
        <f>2371+1457+999+752+391+809+160+271+217+611+352</f>
        <v>8390</v>
      </c>
      <c r="H13" s="114">
        <f t="shared" si="2"/>
        <v>19.720296157010225</v>
      </c>
      <c r="I13" s="107">
        <f t="shared" si="3"/>
        <v>25</v>
      </c>
      <c r="J13" s="114">
        <f t="shared" si="4"/>
        <v>0.29797377830750893</v>
      </c>
      <c r="K13" s="107">
        <f t="shared" si="5"/>
        <v>19</v>
      </c>
      <c r="L13" s="114">
        <f t="shared" si="6"/>
        <v>76</v>
      </c>
      <c r="M13" s="107">
        <f>1+3+1+1+1+1+1</f>
        <v>9</v>
      </c>
      <c r="N13" s="107">
        <f>1+1</f>
        <v>2</v>
      </c>
      <c r="O13" s="107">
        <f>1+1</f>
        <v>2</v>
      </c>
      <c r="P13" s="107">
        <f>2+2+1+1</f>
        <v>6</v>
      </c>
      <c r="Q13" s="107">
        <f>3+1</f>
        <v>4</v>
      </c>
      <c r="R13" s="168">
        <f>1+1</f>
        <v>2</v>
      </c>
      <c r="S13" s="175">
        <f t="shared" si="7"/>
        <v>0.023837902264600714</v>
      </c>
      <c r="T13" s="218">
        <v>1</v>
      </c>
      <c r="U13" s="119">
        <f t="shared" si="8"/>
        <v>0.011918951132300357</v>
      </c>
      <c r="V13" s="114">
        <f t="shared" si="9"/>
        <v>10.526315789473683</v>
      </c>
      <c r="W13" s="105">
        <f>665+438+113+81+57+138+15+38+38+106+50</f>
        <v>1739</v>
      </c>
      <c r="X13" s="114">
        <f t="shared" si="10"/>
        <v>20.72705601907032</v>
      </c>
      <c r="Y13" s="241">
        <f>1360+829+706+538+262+418+117+191+139+407+268</f>
        <v>5235</v>
      </c>
      <c r="Z13" s="105">
        <v>8169</v>
      </c>
      <c r="AA13" s="257">
        <f t="shared" si="0"/>
        <v>26.616523680808555</v>
      </c>
    </row>
    <row r="14" spans="1:27" ht="9.75" customHeight="1">
      <c r="A14" s="330"/>
      <c r="B14" s="104" t="s">
        <v>9</v>
      </c>
      <c r="C14" s="108"/>
      <c r="D14" s="105">
        <f>20162+14864+4221+3629+2266+5911+1281+1240+1793+4698+1650</f>
        <v>61715</v>
      </c>
      <c r="E14" s="105">
        <f>7712+10786+3549+2268+1766+3814+757+768+1595+3380+559</f>
        <v>36954</v>
      </c>
      <c r="F14" s="111">
        <f t="shared" si="1"/>
        <v>59.87847362877744</v>
      </c>
      <c r="G14" s="106">
        <f>1460+1451+959+769+359+825+213+331+254+644+429</f>
        <v>7694</v>
      </c>
      <c r="H14" s="114">
        <f t="shared" si="2"/>
        <v>20.820479515072794</v>
      </c>
      <c r="I14" s="107">
        <f t="shared" si="3"/>
        <v>16</v>
      </c>
      <c r="J14" s="114">
        <f t="shared" si="4"/>
        <v>0.2079542500649857</v>
      </c>
      <c r="K14" s="107">
        <f t="shared" si="5"/>
        <v>11</v>
      </c>
      <c r="L14" s="114">
        <f t="shared" si="6"/>
        <v>68.75</v>
      </c>
      <c r="M14" s="107">
        <f>1+1+1</f>
        <v>3</v>
      </c>
      <c r="N14" s="107">
        <f>1+1</f>
        <v>2</v>
      </c>
      <c r="O14" s="107">
        <v>2</v>
      </c>
      <c r="P14" s="107">
        <f>1+1+1+1</f>
        <v>4</v>
      </c>
      <c r="Q14" s="107">
        <f>1+1</f>
        <v>2</v>
      </c>
      <c r="R14" s="168">
        <f>2+1</f>
        <v>3</v>
      </c>
      <c r="S14" s="175">
        <f t="shared" si="7"/>
        <v>0.02599428125812321</v>
      </c>
      <c r="T14" s="218">
        <v>0</v>
      </c>
      <c r="U14" s="119">
        <f t="shared" si="8"/>
        <v>0</v>
      </c>
      <c r="V14" s="114">
        <f t="shared" si="9"/>
        <v>18.181818181818183</v>
      </c>
      <c r="W14" s="105">
        <f>382+297+85+46+42+83+19+22+21+83+40</f>
        <v>1120</v>
      </c>
      <c r="X14" s="114">
        <f t="shared" si="10"/>
        <v>14.556797504549</v>
      </c>
      <c r="Y14" s="241">
        <f>844+936+759+581+244+455+153+266+175+453+332</f>
        <v>5198</v>
      </c>
      <c r="Z14" s="105">
        <v>8265</v>
      </c>
      <c r="AA14" s="257">
        <f t="shared" si="0"/>
        <v>29.11998701087839</v>
      </c>
    </row>
    <row r="15" spans="1:27" ht="9.75" customHeight="1">
      <c r="A15" s="330"/>
      <c r="B15" s="104" t="s">
        <v>10</v>
      </c>
      <c r="C15" s="108"/>
      <c r="D15" s="105">
        <f>18788+12945+4259+3452+2224+5755+1506+1513+2079+5145+1943</f>
        <v>59609</v>
      </c>
      <c r="E15" s="105">
        <f>7706+19040+3859+2290+1940+4210+1201+969+2005+4117+714</f>
        <v>48051</v>
      </c>
      <c r="F15" s="111">
        <f t="shared" si="1"/>
        <v>80.61031052357865</v>
      </c>
      <c r="G15" s="106">
        <f>1057+1068+746+641+308+670+260+382+268+560+516</f>
        <v>6476</v>
      </c>
      <c r="H15" s="114">
        <f t="shared" si="2"/>
        <v>13.477346985494579</v>
      </c>
      <c r="I15" s="107">
        <f t="shared" si="3"/>
        <v>15</v>
      </c>
      <c r="J15" s="114">
        <f t="shared" si="4"/>
        <v>0.23162445954292774</v>
      </c>
      <c r="K15" s="107">
        <f t="shared" si="5"/>
        <v>14</v>
      </c>
      <c r="L15" s="114">
        <f t="shared" si="6"/>
        <v>93.33333333333333</v>
      </c>
      <c r="M15" s="107">
        <f>2+3+1+1+1+1</f>
        <v>9</v>
      </c>
      <c r="N15" s="107">
        <v>1</v>
      </c>
      <c r="O15" s="107">
        <v>0</v>
      </c>
      <c r="P15" s="107">
        <f>1+1+2</f>
        <v>4</v>
      </c>
      <c r="Q15" s="107">
        <v>1</v>
      </c>
      <c r="R15" s="168">
        <v>0</v>
      </c>
      <c r="S15" s="175">
        <f t="shared" si="7"/>
        <v>0.015441630636195183</v>
      </c>
      <c r="T15" s="218">
        <v>0</v>
      </c>
      <c r="U15" s="119">
        <f t="shared" si="8"/>
        <v>0</v>
      </c>
      <c r="V15" s="114">
        <f t="shared" si="9"/>
        <v>7.142857142857142</v>
      </c>
      <c r="W15" s="105">
        <f>258+168+46+37+15+69+12+26+25+43+34</f>
        <v>733</v>
      </c>
      <c r="X15" s="114">
        <f t="shared" si="10"/>
        <v>11.31871525633107</v>
      </c>
      <c r="Y15" s="241">
        <f>597+748+640+500+222+340+200+297+189+440+427</f>
        <v>4600</v>
      </c>
      <c r="Z15" s="105">
        <v>7945</v>
      </c>
      <c r="AA15" s="257">
        <f t="shared" si="0"/>
        <v>20.438700547335124</v>
      </c>
    </row>
    <row r="16" spans="1:27" ht="9.75" customHeight="1">
      <c r="A16" s="330"/>
      <c r="B16" s="104" t="s">
        <v>11</v>
      </c>
      <c r="C16" s="108"/>
      <c r="D16" s="105">
        <f>17274+11053+4004+3159+1920+5879+1631+1637+2226+5105+2193</f>
        <v>56081</v>
      </c>
      <c r="E16" s="105">
        <f>7666+8885+3730+2141+1652+4037+1268+972+2165+4117+601</f>
        <v>37234</v>
      </c>
      <c r="F16" s="111">
        <f t="shared" si="1"/>
        <v>66.39325261675077</v>
      </c>
      <c r="G16" s="106">
        <f>472+540+436+356+179+392+208+322+136+413+379</f>
        <v>3833</v>
      </c>
      <c r="H16" s="114">
        <f t="shared" si="2"/>
        <v>10.294354622119569</v>
      </c>
      <c r="I16" s="107">
        <f t="shared" si="3"/>
        <v>9</v>
      </c>
      <c r="J16" s="114">
        <f t="shared" si="4"/>
        <v>0.2348030263501174</v>
      </c>
      <c r="K16" s="107">
        <f t="shared" si="5"/>
        <v>8</v>
      </c>
      <c r="L16" s="114">
        <f t="shared" si="6"/>
        <v>88.88888888888889</v>
      </c>
      <c r="M16" s="107">
        <f>1+1+1</f>
        <v>3</v>
      </c>
      <c r="N16" s="107">
        <v>1</v>
      </c>
      <c r="O16" s="107">
        <v>1</v>
      </c>
      <c r="P16" s="107">
        <f>1+2</f>
        <v>3</v>
      </c>
      <c r="Q16" s="107">
        <v>0</v>
      </c>
      <c r="R16" s="168">
        <v>1</v>
      </c>
      <c r="S16" s="175">
        <f t="shared" si="7"/>
        <v>0.026089225150013044</v>
      </c>
      <c r="T16" s="218">
        <v>0</v>
      </c>
      <c r="U16" s="119">
        <f t="shared" si="8"/>
        <v>0</v>
      </c>
      <c r="V16" s="114">
        <f t="shared" si="9"/>
        <v>12.5</v>
      </c>
      <c r="W16" s="105">
        <f>91+61+24+29+13+20+9+27+14+37+27</f>
        <v>352</v>
      </c>
      <c r="X16" s="114">
        <f t="shared" si="10"/>
        <v>9.183407252804592</v>
      </c>
      <c r="Y16" s="241">
        <f>265+411+355+254+132+209+165+249+99+307+321</f>
        <v>2767</v>
      </c>
      <c r="Z16" s="105">
        <v>4873</v>
      </c>
      <c r="AA16" s="257">
        <f t="shared" si="0"/>
        <v>15.950475371971853</v>
      </c>
    </row>
    <row r="17" spans="1:27" ht="9.75" customHeight="1">
      <c r="A17" s="330"/>
      <c r="B17" s="144" t="s">
        <v>12</v>
      </c>
      <c r="C17" s="145"/>
      <c r="D17" s="146">
        <f>25967+16587+6540+5184+3108+10302+3206+3005+4085+7925+4199</f>
        <v>90108</v>
      </c>
      <c r="E17" s="146">
        <f>11637+12702+5577+3434+2684+6547+2122+1343+3003+6085+441</f>
        <v>55575</v>
      </c>
      <c r="F17" s="147">
        <f t="shared" si="1"/>
        <v>61.675988813423885</v>
      </c>
      <c r="G17" s="148">
        <f>215+173+161+146+44+114+83+106+50+164+196</f>
        <v>1452</v>
      </c>
      <c r="H17" s="117">
        <f t="shared" si="2"/>
        <v>2.612685560053981</v>
      </c>
      <c r="I17" s="37">
        <f t="shared" si="3"/>
        <v>5</v>
      </c>
      <c r="J17" s="117">
        <f t="shared" si="4"/>
        <v>0.34435261707988984</v>
      </c>
      <c r="K17" s="37">
        <f t="shared" si="5"/>
        <v>4</v>
      </c>
      <c r="L17" s="117">
        <f t="shared" si="6"/>
        <v>80</v>
      </c>
      <c r="M17" s="149">
        <v>1</v>
      </c>
      <c r="N17" s="149">
        <v>0</v>
      </c>
      <c r="O17" s="149">
        <v>0</v>
      </c>
      <c r="P17" s="149">
        <f>1+2</f>
        <v>3</v>
      </c>
      <c r="Q17" s="149">
        <v>0</v>
      </c>
      <c r="R17" s="169">
        <v>1</v>
      </c>
      <c r="S17" s="176">
        <f t="shared" si="7"/>
        <v>0</v>
      </c>
      <c r="T17" s="219">
        <v>0</v>
      </c>
      <c r="U17" s="120">
        <f t="shared" si="8"/>
        <v>0</v>
      </c>
      <c r="V17" s="117">
        <f t="shared" si="9"/>
        <v>0</v>
      </c>
      <c r="W17" s="146">
        <f>36+25+10+13+3+16+6+3+4+14+13</f>
        <v>143</v>
      </c>
      <c r="X17" s="117">
        <f t="shared" si="10"/>
        <v>9.848484848484848</v>
      </c>
      <c r="Y17" s="242">
        <f>136+128+129+92+28+45+56+91+39+121+164</f>
        <v>1029</v>
      </c>
      <c r="Z17" s="254">
        <v>1718</v>
      </c>
      <c r="AA17" s="258">
        <f t="shared" si="0"/>
        <v>3.852451641925326</v>
      </c>
    </row>
    <row r="18" spans="1:27" ht="9.75" customHeight="1">
      <c r="A18" s="330"/>
      <c r="B18" s="155" t="s">
        <v>13</v>
      </c>
      <c r="C18" s="96"/>
      <c r="D18" s="97">
        <f>SUM(D5:D17)</f>
        <v>829060</v>
      </c>
      <c r="E18" s="97">
        <f>SUM(E5:E17)</f>
        <v>390327</v>
      </c>
      <c r="F18" s="112">
        <f>E18/D18*100</f>
        <v>47.080669674088725</v>
      </c>
      <c r="G18" s="182">
        <f>SUM(G5:G17)</f>
        <v>56933</v>
      </c>
      <c r="H18" s="115">
        <f>G18/E18*100</f>
        <v>14.58597534887415</v>
      </c>
      <c r="I18" s="95">
        <f>SUM(M18:R18)</f>
        <v>371</v>
      </c>
      <c r="J18" s="115">
        <f>I18/G18*100</f>
        <v>0.6516431595032758</v>
      </c>
      <c r="K18" s="95">
        <f>SUM(M18:P18)</f>
        <v>289</v>
      </c>
      <c r="L18" s="115">
        <f t="shared" si="6"/>
        <v>77.89757412398922</v>
      </c>
      <c r="M18" s="97">
        <f>SUM(M5:M17)</f>
        <v>116</v>
      </c>
      <c r="N18" s="97">
        <f aca="true" t="shared" si="11" ref="N18:T18">SUM(N5:N17)</f>
        <v>27</v>
      </c>
      <c r="O18" s="97">
        <f>SUM(O5:O17)</f>
        <v>22</v>
      </c>
      <c r="P18" s="97">
        <f t="shared" si="11"/>
        <v>124</v>
      </c>
      <c r="Q18" s="97">
        <f t="shared" si="11"/>
        <v>56</v>
      </c>
      <c r="R18" s="142">
        <f t="shared" si="11"/>
        <v>26</v>
      </c>
      <c r="S18" s="177">
        <f t="shared" si="7"/>
        <v>0.04742416524686913</v>
      </c>
      <c r="T18" s="220">
        <f t="shared" si="11"/>
        <v>12</v>
      </c>
      <c r="U18" s="156">
        <f t="shared" si="8"/>
        <v>0.021077406776386278</v>
      </c>
      <c r="V18" s="115">
        <f t="shared" si="9"/>
        <v>9.342560553633218</v>
      </c>
      <c r="W18" s="97">
        <f>SUM(W5:W17)</f>
        <v>14265</v>
      </c>
      <c r="X18" s="115">
        <f t="shared" si="10"/>
        <v>25.05576730542919</v>
      </c>
      <c r="Y18" s="243">
        <f>SUM(Y5:Y17)</f>
        <v>33073</v>
      </c>
      <c r="Z18" s="255">
        <f>SUM(Z5:Z17)</f>
        <v>59753</v>
      </c>
      <c r="AA18" s="259">
        <f t="shared" si="0"/>
        <v>21.421269858349536</v>
      </c>
    </row>
    <row r="19" spans="1:27" ht="9.75" customHeight="1">
      <c r="A19" s="330"/>
      <c r="B19" s="98" t="s">
        <v>14</v>
      </c>
      <c r="C19" s="98" t="s">
        <v>15</v>
      </c>
      <c r="D19" s="150" t="s">
        <v>89</v>
      </c>
      <c r="E19" s="150" t="s">
        <v>88</v>
      </c>
      <c r="F19" s="151" t="s">
        <v>88</v>
      </c>
      <c r="G19" s="148">
        <f>16144+10244+294+86+1330+156+2778</f>
        <v>31032</v>
      </c>
      <c r="H19" s="152" t="s">
        <v>88</v>
      </c>
      <c r="I19" s="149">
        <f>SUM(M19:R19)</f>
        <v>259</v>
      </c>
      <c r="J19" s="153">
        <f t="shared" si="4"/>
        <v>0.8346223253415828</v>
      </c>
      <c r="K19" s="149">
        <f>SUM(M19:P19)</f>
        <v>188</v>
      </c>
      <c r="L19" s="153">
        <f t="shared" si="6"/>
        <v>72.58687258687259</v>
      </c>
      <c r="M19" s="149">
        <f>35+28+1+5</f>
        <v>69</v>
      </c>
      <c r="N19" s="149">
        <f>7+7</f>
        <v>14</v>
      </c>
      <c r="O19" s="149">
        <f>11+7</f>
        <v>18</v>
      </c>
      <c r="P19" s="149">
        <f>52+23+1+11</f>
        <v>87</v>
      </c>
      <c r="Q19" s="149">
        <f>46+3+1</f>
        <v>50</v>
      </c>
      <c r="R19" s="169">
        <f>7+12+1+1</f>
        <v>21</v>
      </c>
      <c r="S19" s="178">
        <f t="shared" si="7"/>
        <v>0.045114720288734214</v>
      </c>
      <c r="T19" s="219">
        <f>2+2</f>
        <v>4</v>
      </c>
      <c r="U19" s="154">
        <f t="shared" si="8"/>
        <v>0.012889920082495489</v>
      </c>
      <c r="V19" s="153">
        <f t="shared" si="9"/>
        <v>7.446808510638298</v>
      </c>
      <c r="W19" s="223">
        <f>5365+4314+118+15+174+52+675</f>
        <v>10713</v>
      </c>
      <c r="X19" s="153">
        <f t="shared" si="10"/>
        <v>34.522428460943544</v>
      </c>
      <c r="Y19" s="302">
        <f>8583+4765+263+21+56+53+1606</f>
        <v>15347</v>
      </c>
      <c r="Z19" s="260"/>
      <c r="AA19" s="261"/>
    </row>
    <row r="20" spans="1:27" ht="9.75" customHeight="1" thickBot="1">
      <c r="A20" s="331"/>
      <c r="B20" s="99" t="s">
        <v>16</v>
      </c>
      <c r="C20" s="157" t="s">
        <v>17</v>
      </c>
      <c r="D20" s="110" t="s">
        <v>88</v>
      </c>
      <c r="E20" s="110" t="s">
        <v>88</v>
      </c>
      <c r="F20" s="158" t="s">
        <v>88</v>
      </c>
      <c r="G20" s="159">
        <f>536+1029+5485+4339+2128+3779+1225+1735+1393+1507+2745</f>
        <v>25901</v>
      </c>
      <c r="H20" s="160" t="s">
        <v>88</v>
      </c>
      <c r="I20" s="161">
        <f>SUM(M20:R20)</f>
        <v>112</v>
      </c>
      <c r="J20" s="162">
        <f t="shared" si="4"/>
        <v>0.4324157368441373</v>
      </c>
      <c r="K20" s="161">
        <f>SUM(M20:P20)</f>
        <v>101</v>
      </c>
      <c r="L20" s="162">
        <f t="shared" si="6"/>
        <v>90.17857142857143</v>
      </c>
      <c r="M20" s="161">
        <f>1+14+9+2+6+1+3+7+4</f>
        <v>47</v>
      </c>
      <c r="N20" s="161">
        <f>1+2+5+1+1+1+1+1</f>
        <v>13</v>
      </c>
      <c r="O20" s="161">
        <f>1+1+1+1</f>
        <v>4</v>
      </c>
      <c r="P20" s="161">
        <f>3+11+9+3+1+6+1+2+1</f>
        <v>37</v>
      </c>
      <c r="Q20" s="161">
        <f>2+4</f>
        <v>6</v>
      </c>
      <c r="R20" s="170">
        <f>1+1+1+1+1</f>
        <v>5</v>
      </c>
      <c r="S20" s="179">
        <f t="shared" si="7"/>
        <v>0.05019111231226594</v>
      </c>
      <c r="T20" s="221">
        <f>4+1+1+1+1</f>
        <v>8</v>
      </c>
      <c r="U20" s="163">
        <f t="shared" si="8"/>
        <v>0.030886838346009804</v>
      </c>
      <c r="V20" s="162">
        <f t="shared" si="9"/>
        <v>12.871287128712872</v>
      </c>
      <c r="W20" s="224">
        <f>70+136+681+530+380+621+120+186+243+155+430</f>
        <v>3552</v>
      </c>
      <c r="X20" s="162">
        <f t="shared" si="10"/>
        <v>13.713756225628353</v>
      </c>
      <c r="Y20" s="303">
        <f>377+684+3818+3092+1316+2285+870+1306+889+1100+1989</f>
        <v>17726</v>
      </c>
      <c r="Z20" s="262"/>
      <c r="AA20" s="263"/>
    </row>
    <row r="21" spans="1:27" ht="9.75" customHeight="1">
      <c r="A21" s="329" t="s">
        <v>18</v>
      </c>
      <c r="B21" s="102" t="s">
        <v>87</v>
      </c>
      <c r="C21" s="102"/>
      <c r="D21" s="200"/>
      <c r="E21" s="200"/>
      <c r="F21" s="206"/>
      <c r="G21" s="103">
        <v>1</v>
      </c>
      <c r="H21" s="212"/>
      <c r="I21" s="100">
        <f>SUM(M21:R21)</f>
        <v>0</v>
      </c>
      <c r="J21" s="164">
        <f t="shared" si="4"/>
        <v>0</v>
      </c>
      <c r="K21" s="100">
        <f>SUM(M21:P21)</f>
        <v>0</v>
      </c>
      <c r="L21" s="164" t="e">
        <f t="shared" si="6"/>
        <v>#DIV/0!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67">
        <v>0</v>
      </c>
      <c r="S21" s="180">
        <f t="shared" si="7"/>
        <v>0</v>
      </c>
      <c r="T21" s="217">
        <v>0</v>
      </c>
      <c r="U21" s="165">
        <f t="shared" si="8"/>
        <v>0</v>
      </c>
      <c r="V21" s="164" t="e">
        <f t="shared" si="9"/>
        <v>#DIV/0!</v>
      </c>
      <c r="W21" s="225">
        <v>1</v>
      </c>
      <c r="X21" s="164">
        <f t="shared" si="10"/>
        <v>100</v>
      </c>
      <c r="Y21" s="244"/>
      <c r="Z21" s="264"/>
      <c r="AA21" s="265"/>
    </row>
    <row r="22" spans="1:27" ht="9.75" customHeight="1">
      <c r="A22" s="330"/>
      <c r="B22" s="104" t="s">
        <v>38</v>
      </c>
      <c r="C22" s="104"/>
      <c r="D22" s="201"/>
      <c r="E22" s="201"/>
      <c r="F22" s="207"/>
      <c r="G22" s="106">
        <f>2+5</f>
        <v>7</v>
      </c>
      <c r="H22" s="213"/>
      <c r="I22" s="107">
        <f>SUM(M22:R22)</f>
        <v>0</v>
      </c>
      <c r="J22" s="114">
        <f t="shared" si="4"/>
        <v>0</v>
      </c>
      <c r="K22" s="107">
        <f>SUM(M22:P22)</f>
        <v>0</v>
      </c>
      <c r="L22" s="114" t="e">
        <f t="shared" si="6"/>
        <v>#DIV/0!</v>
      </c>
      <c r="M22" s="107">
        <v>0</v>
      </c>
      <c r="N22" s="107">
        <v>0</v>
      </c>
      <c r="O22" s="107">
        <v>0</v>
      </c>
      <c r="P22" s="107">
        <v>0</v>
      </c>
      <c r="Q22" s="107">
        <v>0</v>
      </c>
      <c r="R22" s="168">
        <v>0</v>
      </c>
      <c r="S22" s="175">
        <f t="shared" si="7"/>
        <v>0</v>
      </c>
      <c r="T22" s="218">
        <v>0</v>
      </c>
      <c r="U22" s="119">
        <f t="shared" si="8"/>
        <v>0</v>
      </c>
      <c r="V22" s="114" t="e">
        <f t="shared" si="9"/>
        <v>#DIV/0!</v>
      </c>
      <c r="W22" s="226">
        <f>2+5</f>
        <v>7</v>
      </c>
      <c r="X22" s="114">
        <f t="shared" si="10"/>
        <v>100</v>
      </c>
      <c r="Y22" s="245"/>
      <c r="Z22" s="266"/>
      <c r="AA22" s="267"/>
    </row>
    <row r="23" spans="1:27" ht="9.75" customHeight="1">
      <c r="A23" s="330"/>
      <c r="B23" s="104" t="s">
        <v>2</v>
      </c>
      <c r="C23" s="108"/>
      <c r="D23" s="201"/>
      <c r="E23" s="201"/>
      <c r="F23" s="207"/>
      <c r="G23" s="106">
        <f>68+20</f>
        <v>88</v>
      </c>
      <c r="H23" s="213"/>
      <c r="I23" s="107">
        <f aca="true" t="shared" si="12" ref="I23:I33">SUM(M23:R23)</f>
        <v>1</v>
      </c>
      <c r="J23" s="114">
        <f t="shared" si="4"/>
        <v>1.1363636363636365</v>
      </c>
      <c r="K23" s="107">
        <f aca="true" t="shared" si="13" ref="K23:K33">SUM(M23:P23)</f>
        <v>1</v>
      </c>
      <c r="L23" s="114">
        <f t="shared" si="6"/>
        <v>100</v>
      </c>
      <c r="M23" s="107">
        <v>1</v>
      </c>
      <c r="N23" s="107">
        <v>0</v>
      </c>
      <c r="O23" s="107">
        <v>0</v>
      </c>
      <c r="P23" s="107">
        <v>0</v>
      </c>
      <c r="Q23" s="107">
        <v>0</v>
      </c>
      <c r="R23" s="168">
        <v>0</v>
      </c>
      <c r="S23" s="175">
        <f t="shared" si="7"/>
        <v>0</v>
      </c>
      <c r="T23" s="218">
        <v>0</v>
      </c>
      <c r="U23" s="119">
        <f t="shared" si="8"/>
        <v>0</v>
      </c>
      <c r="V23" s="114">
        <f t="shared" si="9"/>
        <v>0</v>
      </c>
      <c r="W23" s="226">
        <f>57+12</f>
        <v>69</v>
      </c>
      <c r="X23" s="114">
        <f t="shared" si="10"/>
        <v>78.4090909090909</v>
      </c>
      <c r="Y23" s="245"/>
      <c r="Z23" s="266"/>
      <c r="AA23" s="267"/>
    </row>
    <row r="24" spans="1:27" ht="9.75" customHeight="1">
      <c r="A24" s="330"/>
      <c r="B24" s="104" t="s">
        <v>3</v>
      </c>
      <c r="C24" s="108"/>
      <c r="D24" s="201"/>
      <c r="E24" s="201"/>
      <c r="F24" s="207"/>
      <c r="G24" s="106">
        <f>149+30</f>
        <v>179</v>
      </c>
      <c r="H24" s="213"/>
      <c r="I24" s="107">
        <f t="shared" si="12"/>
        <v>2</v>
      </c>
      <c r="J24" s="114">
        <f t="shared" si="4"/>
        <v>1.1173184357541899</v>
      </c>
      <c r="K24" s="107">
        <f t="shared" si="13"/>
        <v>0</v>
      </c>
      <c r="L24" s="114">
        <f t="shared" si="6"/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2</v>
      </c>
      <c r="R24" s="168">
        <v>0</v>
      </c>
      <c r="S24" s="175">
        <f t="shared" si="7"/>
        <v>0</v>
      </c>
      <c r="T24" s="218">
        <v>0</v>
      </c>
      <c r="U24" s="119">
        <f t="shared" si="8"/>
        <v>0</v>
      </c>
      <c r="V24" s="114" t="e">
        <f t="shared" si="9"/>
        <v>#DIV/0!</v>
      </c>
      <c r="W24" s="226">
        <f>110+19</f>
        <v>129</v>
      </c>
      <c r="X24" s="114">
        <f t="shared" si="10"/>
        <v>72.06703910614524</v>
      </c>
      <c r="Y24" s="245"/>
      <c r="Z24" s="266"/>
      <c r="AA24" s="267"/>
    </row>
    <row r="25" spans="1:27" ht="9.75" customHeight="1">
      <c r="A25" s="330"/>
      <c r="B25" s="104" t="s">
        <v>4</v>
      </c>
      <c r="C25" s="108"/>
      <c r="D25" s="201"/>
      <c r="E25" s="201"/>
      <c r="F25" s="207"/>
      <c r="G25" s="106">
        <f>327+20+12</f>
        <v>359</v>
      </c>
      <c r="H25" s="213"/>
      <c r="I25" s="107">
        <f t="shared" si="12"/>
        <v>2</v>
      </c>
      <c r="J25" s="114">
        <f t="shared" si="4"/>
        <v>0.5571030640668524</v>
      </c>
      <c r="K25" s="107">
        <f t="shared" si="13"/>
        <v>1</v>
      </c>
      <c r="L25" s="114">
        <f t="shared" si="6"/>
        <v>50</v>
      </c>
      <c r="M25" s="107">
        <v>1</v>
      </c>
      <c r="N25" s="107">
        <v>0</v>
      </c>
      <c r="O25" s="107">
        <v>0</v>
      </c>
      <c r="P25" s="107">
        <v>0</v>
      </c>
      <c r="Q25" s="107">
        <v>1</v>
      </c>
      <c r="R25" s="168">
        <v>0</v>
      </c>
      <c r="S25" s="175">
        <f t="shared" si="7"/>
        <v>0</v>
      </c>
      <c r="T25" s="218">
        <v>0</v>
      </c>
      <c r="U25" s="119">
        <f t="shared" si="8"/>
        <v>0</v>
      </c>
      <c r="V25" s="114">
        <f t="shared" si="9"/>
        <v>0</v>
      </c>
      <c r="W25" s="226">
        <f>192+8+3</f>
        <v>203</v>
      </c>
      <c r="X25" s="114">
        <f t="shared" si="10"/>
        <v>56.54596100278552</v>
      </c>
      <c r="Y25" s="245"/>
      <c r="Z25" s="266"/>
      <c r="AA25" s="267"/>
    </row>
    <row r="26" spans="1:27" ht="9.75" customHeight="1">
      <c r="A26" s="330"/>
      <c r="B26" s="104" t="s">
        <v>5</v>
      </c>
      <c r="C26" s="108"/>
      <c r="D26" s="201"/>
      <c r="E26" s="201"/>
      <c r="F26" s="207"/>
      <c r="G26" s="106">
        <f>430+36+17</f>
        <v>483</v>
      </c>
      <c r="H26" s="213"/>
      <c r="I26" s="107">
        <f t="shared" si="12"/>
        <v>1</v>
      </c>
      <c r="J26" s="114">
        <f t="shared" si="4"/>
        <v>0.2070393374741201</v>
      </c>
      <c r="K26" s="107">
        <f t="shared" si="13"/>
        <v>1</v>
      </c>
      <c r="L26" s="114">
        <f t="shared" si="6"/>
        <v>100</v>
      </c>
      <c r="M26" s="107">
        <v>0</v>
      </c>
      <c r="N26" s="107">
        <v>0</v>
      </c>
      <c r="O26" s="107">
        <v>0</v>
      </c>
      <c r="P26" s="107">
        <v>1</v>
      </c>
      <c r="Q26" s="107">
        <v>0</v>
      </c>
      <c r="R26" s="168">
        <v>0</v>
      </c>
      <c r="S26" s="175">
        <f t="shared" si="7"/>
        <v>0</v>
      </c>
      <c r="T26" s="218">
        <v>0</v>
      </c>
      <c r="U26" s="119">
        <f t="shared" si="8"/>
        <v>0</v>
      </c>
      <c r="V26" s="114">
        <f t="shared" si="9"/>
        <v>0</v>
      </c>
      <c r="W26" s="226">
        <f>192+20+3</f>
        <v>215</v>
      </c>
      <c r="X26" s="114">
        <f t="shared" si="10"/>
        <v>44.51345755693582</v>
      </c>
      <c r="Y26" s="245"/>
      <c r="Z26" s="266"/>
      <c r="AA26" s="267"/>
    </row>
    <row r="27" spans="1:27" ht="9.75" customHeight="1">
      <c r="A27" s="330"/>
      <c r="B27" s="104" t="s">
        <v>6</v>
      </c>
      <c r="C27" s="108"/>
      <c r="D27" s="201"/>
      <c r="E27" s="201"/>
      <c r="F27" s="207"/>
      <c r="G27" s="106">
        <f>352+25+11+2</f>
        <v>390</v>
      </c>
      <c r="H27" s="213"/>
      <c r="I27" s="107">
        <f t="shared" si="12"/>
        <v>12</v>
      </c>
      <c r="J27" s="114">
        <f t="shared" si="4"/>
        <v>3.076923076923077</v>
      </c>
      <c r="K27" s="107">
        <f t="shared" si="13"/>
        <v>9</v>
      </c>
      <c r="L27" s="114">
        <f t="shared" si="6"/>
        <v>75</v>
      </c>
      <c r="M27" s="107">
        <f>2+1+2</f>
        <v>5</v>
      </c>
      <c r="N27" s="107">
        <v>0</v>
      </c>
      <c r="O27" s="107">
        <v>2</v>
      </c>
      <c r="P27" s="107">
        <v>2</v>
      </c>
      <c r="Q27" s="107">
        <v>1</v>
      </c>
      <c r="R27" s="168">
        <v>2</v>
      </c>
      <c r="S27" s="175">
        <f t="shared" si="7"/>
        <v>0</v>
      </c>
      <c r="T27" s="218">
        <v>1</v>
      </c>
      <c r="U27" s="119">
        <f t="shared" si="8"/>
        <v>0.2564102564102564</v>
      </c>
      <c r="V27" s="114">
        <f t="shared" si="9"/>
        <v>0</v>
      </c>
      <c r="W27" s="226">
        <f>148+13+2+1</f>
        <v>164</v>
      </c>
      <c r="X27" s="114">
        <f t="shared" si="10"/>
        <v>42.05128205128205</v>
      </c>
      <c r="Y27" s="245"/>
      <c r="Z27" s="266"/>
      <c r="AA27" s="267"/>
    </row>
    <row r="28" spans="1:27" ht="9.75" customHeight="1">
      <c r="A28" s="330"/>
      <c r="B28" s="104" t="s">
        <v>7</v>
      </c>
      <c r="C28" s="108"/>
      <c r="D28" s="201"/>
      <c r="E28" s="201"/>
      <c r="F28" s="207"/>
      <c r="G28" s="106">
        <f>234+11+13</f>
        <v>258</v>
      </c>
      <c r="H28" s="213"/>
      <c r="I28" s="107">
        <f t="shared" si="12"/>
        <v>1</v>
      </c>
      <c r="J28" s="114">
        <f t="shared" si="4"/>
        <v>0.3875968992248062</v>
      </c>
      <c r="K28" s="107">
        <f t="shared" si="13"/>
        <v>1</v>
      </c>
      <c r="L28" s="114">
        <f t="shared" si="6"/>
        <v>100</v>
      </c>
      <c r="M28" s="107">
        <v>0</v>
      </c>
      <c r="N28" s="107">
        <v>0</v>
      </c>
      <c r="O28" s="107">
        <v>0</v>
      </c>
      <c r="P28" s="107">
        <v>1</v>
      </c>
      <c r="Q28" s="107">
        <v>0</v>
      </c>
      <c r="R28" s="168">
        <v>0</v>
      </c>
      <c r="S28" s="175">
        <f t="shared" si="7"/>
        <v>0</v>
      </c>
      <c r="T28" s="218">
        <v>0</v>
      </c>
      <c r="U28" s="119">
        <f t="shared" si="8"/>
        <v>0</v>
      </c>
      <c r="V28" s="114">
        <f t="shared" si="9"/>
        <v>0</v>
      </c>
      <c r="W28" s="226">
        <f>105+6+2</f>
        <v>113</v>
      </c>
      <c r="X28" s="114">
        <f t="shared" si="10"/>
        <v>43.798449612403104</v>
      </c>
      <c r="Y28" s="245"/>
      <c r="Z28" s="266"/>
      <c r="AA28" s="267"/>
    </row>
    <row r="29" spans="1:27" ht="9.75" customHeight="1">
      <c r="A29" s="330"/>
      <c r="B29" s="104" t="s">
        <v>8</v>
      </c>
      <c r="C29" s="108"/>
      <c r="D29" s="201"/>
      <c r="E29" s="201"/>
      <c r="F29" s="207"/>
      <c r="G29" s="106">
        <f>203+12+15</f>
        <v>230</v>
      </c>
      <c r="H29" s="213"/>
      <c r="I29" s="107">
        <f t="shared" si="12"/>
        <v>5</v>
      </c>
      <c r="J29" s="114">
        <f t="shared" si="4"/>
        <v>2.1739130434782608</v>
      </c>
      <c r="K29" s="107">
        <f t="shared" si="13"/>
        <v>3</v>
      </c>
      <c r="L29" s="114">
        <f t="shared" si="6"/>
        <v>60</v>
      </c>
      <c r="M29" s="107">
        <v>1</v>
      </c>
      <c r="N29" s="107">
        <v>0</v>
      </c>
      <c r="O29" s="107">
        <v>1</v>
      </c>
      <c r="P29" s="107">
        <v>1</v>
      </c>
      <c r="Q29" s="107">
        <v>2</v>
      </c>
      <c r="R29" s="168">
        <v>0</v>
      </c>
      <c r="S29" s="175">
        <f t="shared" si="7"/>
        <v>0</v>
      </c>
      <c r="T29" s="218">
        <v>0</v>
      </c>
      <c r="U29" s="119">
        <f t="shared" si="8"/>
        <v>0</v>
      </c>
      <c r="V29" s="114">
        <f t="shared" si="9"/>
        <v>0</v>
      </c>
      <c r="W29" s="226">
        <f>81+5+2</f>
        <v>88</v>
      </c>
      <c r="X29" s="114">
        <f t="shared" si="10"/>
        <v>38.26086956521739</v>
      </c>
      <c r="Y29" s="245"/>
      <c r="Z29" s="266"/>
      <c r="AA29" s="267"/>
    </row>
    <row r="30" spans="1:27" ht="9.75" customHeight="1">
      <c r="A30" s="330"/>
      <c r="B30" s="104" t="s">
        <v>9</v>
      </c>
      <c r="C30" s="108"/>
      <c r="D30" s="201"/>
      <c r="E30" s="201"/>
      <c r="F30" s="207"/>
      <c r="G30" s="106">
        <f>107+6+8</f>
        <v>121</v>
      </c>
      <c r="H30" s="213"/>
      <c r="I30" s="107">
        <f t="shared" si="12"/>
        <v>0</v>
      </c>
      <c r="J30" s="114">
        <f t="shared" si="4"/>
        <v>0</v>
      </c>
      <c r="K30" s="107">
        <f t="shared" si="13"/>
        <v>0</v>
      </c>
      <c r="L30" s="114" t="e">
        <f t="shared" si="6"/>
        <v>#DIV/0!</v>
      </c>
      <c r="M30" s="107">
        <v>0</v>
      </c>
      <c r="N30" s="107">
        <v>0</v>
      </c>
      <c r="O30" s="107">
        <v>0</v>
      </c>
      <c r="P30" s="107">
        <v>0</v>
      </c>
      <c r="Q30" s="107">
        <v>0</v>
      </c>
      <c r="R30" s="168">
        <v>0</v>
      </c>
      <c r="S30" s="175">
        <f t="shared" si="7"/>
        <v>0</v>
      </c>
      <c r="T30" s="218">
        <v>0</v>
      </c>
      <c r="U30" s="119">
        <f t="shared" si="8"/>
        <v>0</v>
      </c>
      <c r="V30" s="114" t="e">
        <f t="shared" si="9"/>
        <v>#DIV/0!</v>
      </c>
      <c r="W30" s="226">
        <f>52+2+2</f>
        <v>56</v>
      </c>
      <c r="X30" s="114">
        <f t="shared" si="10"/>
        <v>46.28099173553719</v>
      </c>
      <c r="Y30" s="245"/>
      <c r="Z30" s="266"/>
      <c r="AA30" s="267"/>
    </row>
    <row r="31" spans="1:27" ht="9.75" customHeight="1">
      <c r="A31" s="330"/>
      <c r="B31" s="104" t="s">
        <v>10</v>
      </c>
      <c r="C31" s="108"/>
      <c r="D31" s="201"/>
      <c r="E31" s="201"/>
      <c r="F31" s="207"/>
      <c r="G31" s="106">
        <f>57+11+9+2</f>
        <v>79</v>
      </c>
      <c r="H31" s="213"/>
      <c r="I31" s="107">
        <f t="shared" si="12"/>
        <v>6</v>
      </c>
      <c r="J31" s="114">
        <f t="shared" si="4"/>
        <v>7.59493670886076</v>
      </c>
      <c r="K31" s="107">
        <f t="shared" si="13"/>
        <v>4</v>
      </c>
      <c r="L31" s="114">
        <f t="shared" si="6"/>
        <v>66.66666666666666</v>
      </c>
      <c r="M31" s="107">
        <v>2</v>
      </c>
      <c r="N31" s="107">
        <v>1</v>
      </c>
      <c r="O31" s="107">
        <v>0</v>
      </c>
      <c r="P31" s="107">
        <v>1</v>
      </c>
      <c r="Q31" s="107">
        <v>0</v>
      </c>
      <c r="R31" s="168">
        <v>2</v>
      </c>
      <c r="S31" s="175">
        <f t="shared" si="7"/>
        <v>1.2658227848101267</v>
      </c>
      <c r="T31" s="218">
        <v>0</v>
      </c>
      <c r="U31" s="119">
        <f t="shared" si="8"/>
        <v>0</v>
      </c>
      <c r="V31" s="114">
        <f t="shared" si="9"/>
        <v>25</v>
      </c>
      <c r="W31" s="226">
        <f>28+4+1</f>
        <v>33</v>
      </c>
      <c r="X31" s="114">
        <f t="shared" si="10"/>
        <v>41.77215189873418</v>
      </c>
      <c r="Y31" s="245"/>
      <c r="Z31" s="266"/>
      <c r="AA31" s="267"/>
    </row>
    <row r="32" spans="1:27" ht="9.75" customHeight="1">
      <c r="A32" s="330"/>
      <c r="B32" s="104" t="s">
        <v>11</v>
      </c>
      <c r="C32" s="108"/>
      <c r="D32" s="201"/>
      <c r="E32" s="201"/>
      <c r="F32" s="207"/>
      <c r="G32" s="106">
        <f>27+5+1</f>
        <v>33</v>
      </c>
      <c r="H32" s="213"/>
      <c r="I32" s="107">
        <f t="shared" si="12"/>
        <v>0</v>
      </c>
      <c r="J32" s="114">
        <f t="shared" si="4"/>
        <v>0</v>
      </c>
      <c r="K32" s="107">
        <f t="shared" si="13"/>
        <v>0</v>
      </c>
      <c r="L32" s="114" t="e">
        <f t="shared" si="6"/>
        <v>#DIV/0!</v>
      </c>
      <c r="M32" s="107">
        <v>0</v>
      </c>
      <c r="N32" s="107">
        <v>0</v>
      </c>
      <c r="O32" s="107">
        <v>0</v>
      </c>
      <c r="P32" s="107">
        <v>0</v>
      </c>
      <c r="Q32" s="107">
        <v>0</v>
      </c>
      <c r="R32" s="168">
        <v>0</v>
      </c>
      <c r="S32" s="175">
        <f t="shared" si="7"/>
        <v>0</v>
      </c>
      <c r="T32" s="218">
        <v>0</v>
      </c>
      <c r="U32" s="119">
        <f t="shared" si="8"/>
        <v>0</v>
      </c>
      <c r="V32" s="114" t="e">
        <f t="shared" si="9"/>
        <v>#DIV/0!</v>
      </c>
      <c r="W32" s="226">
        <v>10</v>
      </c>
      <c r="X32" s="114">
        <f t="shared" si="10"/>
        <v>30.303030303030305</v>
      </c>
      <c r="Y32" s="245"/>
      <c r="Z32" s="266"/>
      <c r="AA32" s="267"/>
    </row>
    <row r="33" spans="1:27" ht="9.75" customHeight="1">
      <c r="A33" s="330"/>
      <c r="B33" s="144" t="s">
        <v>12</v>
      </c>
      <c r="C33" s="145"/>
      <c r="D33" s="202"/>
      <c r="E33" s="202"/>
      <c r="F33" s="208"/>
      <c r="G33" s="148">
        <f>6+5+1</f>
        <v>12</v>
      </c>
      <c r="H33" s="214"/>
      <c r="I33" s="37">
        <f t="shared" si="12"/>
        <v>0</v>
      </c>
      <c r="J33" s="117">
        <f t="shared" si="4"/>
        <v>0</v>
      </c>
      <c r="K33" s="37">
        <f t="shared" si="13"/>
        <v>0</v>
      </c>
      <c r="L33" s="117" t="e">
        <f t="shared" si="6"/>
        <v>#DIV/0!</v>
      </c>
      <c r="M33" s="149">
        <v>0</v>
      </c>
      <c r="N33" s="149">
        <v>0</v>
      </c>
      <c r="O33" s="149">
        <v>0</v>
      </c>
      <c r="P33" s="149">
        <v>0</v>
      </c>
      <c r="Q33" s="149">
        <v>0</v>
      </c>
      <c r="R33" s="169">
        <v>0</v>
      </c>
      <c r="S33" s="176">
        <f t="shared" si="7"/>
        <v>0</v>
      </c>
      <c r="T33" s="219">
        <v>0</v>
      </c>
      <c r="U33" s="120">
        <f t="shared" si="8"/>
        <v>0</v>
      </c>
      <c r="V33" s="117" t="e">
        <f t="shared" si="9"/>
        <v>#DIV/0!</v>
      </c>
      <c r="W33" s="223">
        <v>4</v>
      </c>
      <c r="X33" s="117">
        <f t="shared" si="10"/>
        <v>33.33333333333333</v>
      </c>
      <c r="Y33" s="246"/>
      <c r="Z33" s="268"/>
      <c r="AA33" s="269"/>
    </row>
    <row r="34" spans="1:27" ht="9.75" customHeight="1">
      <c r="A34" s="330"/>
      <c r="B34" s="155" t="s">
        <v>13</v>
      </c>
      <c r="C34" s="96"/>
      <c r="D34" s="203"/>
      <c r="E34" s="203"/>
      <c r="F34" s="209"/>
      <c r="G34" s="182">
        <f>SUM(G21:G33)</f>
        <v>2240</v>
      </c>
      <c r="H34" s="215"/>
      <c r="I34" s="95">
        <f>SUM(M34:R34)</f>
        <v>30</v>
      </c>
      <c r="J34" s="115">
        <f t="shared" si="4"/>
        <v>1.3392857142857142</v>
      </c>
      <c r="K34" s="95">
        <f>SUM(M34:P34)</f>
        <v>20</v>
      </c>
      <c r="L34" s="115">
        <f t="shared" si="6"/>
        <v>66.66666666666666</v>
      </c>
      <c r="M34" s="97">
        <f>SUM(M21:M33)</f>
        <v>10</v>
      </c>
      <c r="N34" s="97">
        <f aca="true" t="shared" si="14" ref="N34:T34">SUM(N21:N33)</f>
        <v>1</v>
      </c>
      <c r="O34" s="97">
        <f t="shared" si="14"/>
        <v>3</v>
      </c>
      <c r="P34" s="97">
        <f t="shared" si="14"/>
        <v>6</v>
      </c>
      <c r="Q34" s="97">
        <f t="shared" si="14"/>
        <v>6</v>
      </c>
      <c r="R34" s="142">
        <f t="shared" si="14"/>
        <v>4</v>
      </c>
      <c r="S34" s="177">
        <f t="shared" si="7"/>
        <v>0.044642857142857144</v>
      </c>
      <c r="T34" s="220">
        <f t="shared" si="14"/>
        <v>1</v>
      </c>
      <c r="U34" s="156">
        <f t="shared" si="8"/>
        <v>0.044642857142857144</v>
      </c>
      <c r="V34" s="115">
        <f t="shared" si="9"/>
        <v>5</v>
      </c>
      <c r="W34" s="227">
        <f>SUM(W21:W33)</f>
        <v>1092</v>
      </c>
      <c r="X34" s="115">
        <f t="shared" si="10"/>
        <v>48.75</v>
      </c>
      <c r="Y34" s="247"/>
      <c r="Z34" s="270"/>
      <c r="AA34" s="271"/>
    </row>
    <row r="35" spans="1:27" ht="9.75" customHeight="1">
      <c r="A35" s="330"/>
      <c r="B35" s="98" t="s">
        <v>14</v>
      </c>
      <c r="C35" s="109" t="s">
        <v>15</v>
      </c>
      <c r="D35" s="204"/>
      <c r="E35" s="204"/>
      <c r="F35" s="210"/>
      <c r="G35" s="17">
        <f>1963+186+86+4+1</f>
        <v>2240</v>
      </c>
      <c r="H35" s="204"/>
      <c r="I35" s="16">
        <f>SUM(M35:R35)</f>
        <v>30</v>
      </c>
      <c r="J35" s="118">
        <f t="shared" si="4"/>
        <v>1.3392857142857142</v>
      </c>
      <c r="K35" s="16">
        <f>SUM(M35:P35)</f>
        <v>20</v>
      </c>
      <c r="L35" s="118">
        <f t="shared" si="6"/>
        <v>66.66666666666666</v>
      </c>
      <c r="M35" s="16">
        <f>5+1+4</f>
        <v>10</v>
      </c>
      <c r="N35" s="16">
        <v>1</v>
      </c>
      <c r="O35" s="16">
        <v>3</v>
      </c>
      <c r="P35" s="16">
        <f>1+5</f>
        <v>6</v>
      </c>
      <c r="Q35" s="16">
        <v>6</v>
      </c>
      <c r="R35" s="171">
        <v>4</v>
      </c>
      <c r="S35" s="181">
        <f t="shared" si="7"/>
        <v>0.044642857142857144</v>
      </c>
      <c r="T35" s="222">
        <v>1</v>
      </c>
      <c r="U35" s="122">
        <f t="shared" si="8"/>
        <v>0.044642857142857144</v>
      </c>
      <c r="V35" s="118">
        <f t="shared" si="9"/>
        <v>5</v>
      </c>
      <c r="W35" s="228">
        <f>982+94+15+1</f>
        <v>1092</v>
      </c>
      <c r="X35" s="118">
        <f t="shared" si="10"/>
        <v>48.75</v>
      </c>
      <c r="Y35" s="248"/>
      <c r="Z35" s="272"/>
      <c r="AA35" s="273"/>
    </row>
    <row r="36" spans="1:27" ht="9.75" customHeight="1" thickBot="1">
      <c r="A36" s="331"/>
      <c r="B36" s="99" t="s">
        <v>16</v>
      </c>
      <c r="C36" s="157" t="s">
        <v>17</v>
      </c>
      <c r="D36" s="205"/>
      <c r="E36" s="205"/>
      <c r="F36" s="211"/>
      <c r="G36" s="159">
        <v>0</v>
      </c>
      <c r="H36" s="205"/>
      <c r="I36" s="161">
        <f>SUM(M36:R36)</f>
        <v>0</v>
      </c>
      <c r="J36" s="162" t="e">
        <f t="shared" si="4"/>
        <v>#DIV/0!</v>
      </c>
      <c r="K36" s="161">
        <f>SUM(M36:P36)</f>
        <v>0</v>
      </c>
      <c r="L36" s="162" t="e">
        <f t="shared" si="6"/>
        <v>#DIV/0!</v>
      </c>
      <c r="M36" s="161">
        <v>0</v>
      </c>
      <c r="N36" s="161">
        <v>0</v>
      </c>
      <c r="O36" s="161">
        <v>0</v>
      </c>
      <c r="P36" s="161">
        <v>0</v>
      </c>
      <c r="Q36" s="161">
        <v>0</v>
      </c>
      <c r="R36" s="170">
        <v>0</v>
      </c>
      <c r="S36" s="179" t="e">
        <f t="shared" si="7"/>
        <v>#DIV/0!</v>
      </c>
      <c r="T36" s="221">
        <v>0</v>
      </c>
      <c r="U36" s="163" t="e">
        <f t="shared" si="8"/>
        <v>#DIV/0!</v>
      </c>
      <c r="V36" s="162" t="e">
        <f t="shared" si="9"/>
        <v>#DIV/0!</v>
      </c>
      <c r="W36" s="224">
        <v>0</v>
      </c>
      <c r="X36" s="162" t="e">
        <f t="shared" si="10"/>
        <v>#DIV/0!</v>
      </c>
      <c r="Y36" s="249"/>
      <c r="Z36" s="274"/>
      <c r="AA36" s="275"/>
    </row>
    <row r="37" ht="9.75" customHeight="1">
      <c r="T37" s="31"/>
    </row>
    <row r="38" ht="9.75" customHeight="1">
      <c r="T38" s="31"/>
    </row>
    <row r="49" spans="7:25" ht="9.75" customHeight="1">
      <c r="G49" s="56"/>
      <c r="H49" s="13"/>
      <c r="I49" s="56"/>
      <c r="J49" s="13"/>
      <c r="K49" s="56"/>
      <c r="L49" s="13"/>
      <c r="R49" s="78"/>
      <c r="U49" s="56"/>
      <c r="V49" s="13"/>
      <c r="X49" s="56"/>
      <c r="Y49" s="14"/>
    </row>
    <row r="50" spans="7:25" ht="9.75" customHeight="1">
      <c r="G50" s="56"/>
      <c r="H50" s="13"/>
      <c r="I50" s="56"/>
      <c r="J50" s="13"/>
      <c r="K50" s="56"/>
      <c r="L50" s="13"/>
      <c r="R50" s="78"/>
      <c r="U50" s="56"/>
      <c r="V50" s="13"/>
      <c r="X50" s="56"/>
      <c r="Y50" s="14"/>
    </row>
    <row r="51" spans="7:25" ht="9.75" customHeight="1">
      <c r="G51" s="56"/>
      <c r="H51" s="13"/>
      <c r="I51" s="56"/>
      <c r="J51" s="13"/>
      <c r="K51" s="56"/>
      <c r="L51" s="13"/>
      <c r="R51" s="78"/>
      <c r="U51" s="56"/>
      <c r="V51" s="13"/>
      <c r="X51" s="56"/>
      <c r="Y51" s="14"/>
    </row>
    <row r="52" spans="7:25" ht="9.75" customHeight="1">
      <c r="G52" s="56"/>
      <c r="H52" s="13"/>
      <c r="I52" s="56"/>
      <c r="J52" s="13"/>
      <c r="K52" s="56"/>
      <c r="L52" s="13"/>
      <c r="R52" s="78"/>
      <c r="U52" s="56"/>
      <c r="V52" s="13"/>
      <c r="X52" s="56"/>
      <c r="Y52" s="14"/>
    </row>
    <row r="53" spans="7:25" ht="9.75" customHeight="1">
      <c r="G53" s="56"/>
      <c r="H53" s="13"/>
      <c r="I53" s="56"/>
      <c r="J53" s="13"/>
      <c r="K53" s="56"/>
      <c r="L53" s="13"/>
      <c r="R53" s="78"/>
      <c r="U53" s="56"/>
      <c r="V53" s="13"/>
      <c r="X53" s="56"/>
      <c r="Y53" s="14"/>
    </row>
    <row r="54" spans="7:25" ht="9.75" customHeight="1">
      <c r="G54" s="56"/>
      <c r="H54" s="13"/>
      <c r="I54" s="56"/>
      <c r="J54" s="13"/>
      <c r="K54" s="56"/>
      <c r="L54" s="13"/>
      <c r="R54" s="78"/>
      <c r="U54" s="56"/>
      <c r="V54" s="13"/>
      <c r="X54" s="56"/>
      <c r="Y54" s="14"/>
    </row>
    <row r="55" spans="7:25" ht="9.75" customHeight="1">
      <c r="G55" s="56"/>
      <c r="H55" s="13"/>
      <c r="I55" s="56"/>
      <c r="J55" s="13"/>
      <c r="K55" s="56"/>
      <c r="L55" s="13"/>
      <c r="R55" s="78"/>
      <c r="U55" s="56"/>
      <c r="V55" s="13"/>
      <c r="X55" s="56"/>
      <c r="Y55" s="14"/>
    </row>
    <row r="56" spans="7:25" ht="9.75" customHeight="1">
      <c r="G56" s="56"/>
      <c r="H56" s="13"/>
      <c r="I56" s="56"/>
      <c r="J56" s="13"/>
      <c r="K56" s="56"/>
      <c r="L56" s="13"/>
      <c r="R56" s="78"/>
      <c r="U56" s="56"/>
      <c r="V56" s="13"/>
      <c r="X56" s="56"/>
      <c r="Y56" s="14"/>
    </row>
    <row r="57" spans="7:25" ht="9.75" customHeight="1">
      <c r="G57" s="56"/>
      <c r="H57" s="13"/>
      <c r="I57" s="56"/>
      <c r="J57" s="13"/>
      <c r="K57" s="56"/>
      <c r="L57" s="13"/>
      <c r="R57" s="78"/>
      <c r="U57" s="56"/>
      <c r="V57" s="13"/>
      <c r="X57" s="56"/>
      <c r="Y57" s="14"/>
    </row>
    <row r="58" spans="7:25" ht="9.75" customHeight="1">
      <c r="G58" s="56"/>
      <c r="H58" s="13"/>
      <c r="I58" s="56"/>
      <c r="J58" s="13"/>
      <c r="K58" s="56"/>
      <c r="L58" s="13"/>
      <c r="R58" s="78"/>
      <c r="U58" s="56"/>
      <c r="V58" s="13"/>
      <c r="X58" s="56"/>
      <c r="Y58" s="14"/>
    </row>
    <row r="59" spans="7:25" ht="9.75" customHeight="1">
      <c r="G59" s="56"/>
      <c r="H59" s="13"/>
      <c r="I59" s="56"/>
      <c r="J59" s="13"/>
      <c r="K59" s="56"/>
      <c r="L59" s="13"/>
      <c r="R59" s="78"/>
      <c r="U59" s="56"/>
      <c r="V59" s="13"/>
      <c r="X59" s="56"/>
      <c r="Y59" s="14"/>
    </row>
    <row r="60" spans="7:25" ht="9.75" customHeight="1">
      <c r="G60" s="56"/>
      <c r="H60" s="13"/>
      <c r="I60" s="56"/>
      <c r="J60" s="13"/>
      <c r="K60" s="56"/>
      <c r="L60" s="13"/>
      <c r="R60" s="78"/>
      <c r="U60" s="56"/>
      <c r="V60" s="13"/>
      <c r="X60" s="56"/>
      <c r="Y60" s="14"/>
    </row>
    <row r="61" spans="7:25" ht="9.75" customHeight="1">
      <c r="G61" s="56"/>
      <c r="H61" s="13"/>
      <c r="I61" s="56"/>
      <c r="J61" s="13"/>
      <c r="K61" s="56"/>
      <c r="L61" s="13"/>
      <c r="R61" s="78"/>
      <c r="U61" s="56"/>
      <c r="V61" s="13"/>
      <c r="X61" s="56"/>
      <c r="Y61" s="14"/>
    </row>
    <row r="62" spans="7:25" ht="9.75" customHeight="1">
      <c r="G62" s="56"/>
      <c r="H62" s="13"/>
      <c r="I62" s="56"/>
      <c r="J62" s="13"/>
      <c r="K62" s="56"/>
      <c r="L62" s="13"/>
      <c r="R62" s="78"/>
      <c r="U62" s="56"/>
      <c r="V62" s="13"/>
      <c r="X62" s="56"/>
      <c r="Y62" s="14"/>
    </row>
  </sheetData>
  <mergeCells count="8">
    <mergeCell ref="Z2:AA2"/>
    <mergeCell ref="W2:X2"/>
    <mergeCell ref="M2:P2"/>
    <mergeCell ref="A5:A20"/>
    <mergeCell ref="A21:A36"/>
    <mergeCell ref="G2:J2"/>
    <mergeCell ref="K2:L2"/>
    <mergeCell ref="S2:U2"/>
  </mergeCells>
  <printOptions/>
  <pageMargins left="0.7874015748031497" right="0.3937007874015748" top="0.7874015748031497" bottom="0.787401574803149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okayamaken</cp:lastModifiedBy>
  <cp:lastPrinted>2009-11-26T08:06:57Z</cp:lastPrinted>
  <dcterms:created xsi:type="dcterms:W3CDTF">2008-09-01T04:15:20Z</dcterms:created>
  <dcterms:modified xsi:type="dcterms:W3CDTF">2009-11-26T08:07:35Z</dcterms:modified>
  <cp:category/>
  <cp:version/>
  <cp:contentType/>
  <cp:contentStatus/>
</cp:coreProperties>
</file>