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80220ホームページ公表\"/>
    </mc:Choice>
  </mc:AlternateContent>
  <xr:revisionPtr revIDLastSave="0" documentId="13_ncr:9_{A8C95007-AFA3-4E62-B417-0D9F71329451}" xr6:coauthVersionLast="47" xr6:coauthVersionMax="47" xr10:uidLastSave="{00000000-0000-0000-0000-000000000000}"/>
  <bookViews>
    <workbookView xWindow="-120" yWindow="-120" windowWidth="29040" windowHeight="15720" xr2:uid="{BDDCBCF0-270E-473B-948D-A6383EBF12AB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42" i="4" l="1"/>
  <c r="C42" i="4"/>
  <c r="C49" i="4"/>
  <c r="C5" i="4"/>
  <c r="C48" i="4"/>
  <c r="C37" i="4"/>
  <c r="C40" i="4"/>
  <c r="C41" i="4"/>
  <c r="C38" i="4"/>
  <c r="C39" i="4"/>
  <c r="C25" i="4"/>
  <c r="D47" i="4"/>
  <c r="C47" i="4"/>
  <c r="C44" i="4"/>
  <c r="D43" i="4"/>
  <c r="C43" i="4"/>
  <c r="D46" i="4"/>
  <c r="C46" i="4"/>
  <c r="D13" i="4"/>
  <c r="C13" i="4"/>
  <c r="D34" i="4"/>
  <c r="C34" i="4"/>
  <c r="C45" i="4"/>
  <c r="C36" i="4"/>
  <c r="C35" i="4"/>
  <c r="C32" i="4"/>
  <c r="D30" i="4"/>
  <c r="C30" i="4"/>
  <c r="D29" i="4"/>
  <c r="C29" i="4"/>
  <c r="C33" i="4"/>
  <c r="C31" i="4"/>
  <c r="C28" i="4"/>
  <c r="C27" i="4"/>
  <c r="C26" i="4"/>
  <c r="D20" i="4"/>
  <c r="C20" i="4"/>
  <c r="C21" i="4"/>
  <c r="D24" i="4"/>
  <c r="C24" i="4"/>
  <c r="C22" i="4"/>
  <c r="D23" i="4"/>
  <c r="C23" i="4"/>
  <c r="D19" i="4"/>
  <c r="C19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1" i="3"/>
  <c r="C291" i="3"/>
  <c r="D292" i="3"/>
  <c r="C292" i="3"/>
  <c r="C293" i="3"/>
  <c r="C290" i="3"/>
  <c r="D288" i="3"/>
  <c r="C288" i="3"/>
  <c r="C289" i="3"/>
  <c r="D247" i="3"/>
  <c r="C247" i="3"/>
  <c r="D251" i="3"/>
  <c r="C251" i="3"/>
  <c r="C240" i="3"/>
  <c r="D243" i="3"/>
  <c r="C243" i="3"/>
  <c r="C249" i="3"/>
  <c r="D285" i="3"/>
  <c r="C285" i="3"/>
  <c r="D284" i="3"/>
  <c r="C284" i="3"/>
  <c r="C286" i="3"/>
  <c r="D283" i="3"/>
  <c r="C283" i="3"/>
  <c r="D7" i="3"/>
  <c r="C7" i="3"/>
  <c r="D287" i="3"/>
  <c r="C287" i="3"/>
  <c r="D62" i="3"/>
  <c r="C62" i="3"/>
  <c r="D9" i="3"/>
  <c r="C9" i="3"/>
  <c r="D280" i="3"/>
  <c r="C280" i="3"/>
  <c r="D281" i="3"/>
  <c r="C281" i="3"/>
  <c r="C282" i="3"/>
  <c r="D229" i="3"/>
  <c r="C229" i="3"/>
  <c r="C218" i="3"/>
  <c r="D226" i="3"/>
  <c r="C226" i="3"/>
  <c r="C222" i="3"/>
  <c r="D219" i="3"/>
  <c r="C219" i="3"/>
  <c r="D221" i="3"/>
  <c r="C221" i="3"/>
  <c r="D217" i="3"/>
  <c r="C217" i="3"/>
  <c r="D225" i="3"/>
  <c r="C225" i="3"/>
  <c r="C216" i="3"/>
  <c r="D234" i="3"/>
  <c r="C234" i="3"/>
  <c r="D224" i="3"/>
  <c r="C224" i="3"/>
  <c r="D235" i="3"/>
  <c r="C235" i="3"/>
  <c r="D173" i="3"/>
  <c r="C173" i="3"/>
  <c r="D277" i="3"/>
  <c r="C277" i="3"/>
  <c r="D276" i="3"/>
  <c r="C276" i="3"/>
  <c r="D279" i="3"/>
  <c r="C279" i="3"/>
  <c r="D278" i="3"/>
  <c r="C278" i="3"/>
  <c r="D275" i="3"/>
  <c r="C275" i="3"/>
  <c r="D273" i="3"/>
  <c r="C273" i="3"/>
  <c r="D260" i="3"/>
  <c r="C260" i="3"/>
  <c r="D274" i="3"/>
  <c r="C274" i="3"/>
  <c r="D257" i="3"/>
  <c r="C257" i="3"/>
  <c r="C258" i="3"/>
  <c r="D272" i="3"/>
  <c r="C272" i="3"/>
  <c r="D268" i="3"/>
  <c r="C268" i="3"/>
  <c r="C269" i="3"/>
  <c r="D271" i="3"/>
  <c r="C271" i="3"/>
  <c r="D270" i="3"/>
  <c r="C270" i="3"/>
  <c r="D267" i="3"/>
  <c r="C267" i="3"/>
  <c r="D197" i="3"/>
  <c r="C197" i="3"/>
  <c r="D192" i="3"/>
  <c r="C192" i="3"/>
  <c r="D265" i="3"/>
  <c r="C265" i="3"/>
  <c r="D264" i="3"/>
  <c r="C264" i="3"/>
  <c r="D262" i="3"/>
  <c r="C262" i="3"/>
  <c r="C266" i="3"/>
  <c r="C263" i="3"/>
  <c r="C213" i="3"/>
  <c r="D203" i="3"/>
  <c r="C203" i="3"/>
  <c r="D207" i="3"/>
  <c r="C207" i="3"/>
  <c r="D208" i="3"/>
  <c r="C208" i="3"/>
  <c r="D252" i="3"/>
  <c r="C252" i="3"/>
  <c r="C259" i="3"/>
  <c r="D254" i="3"/>
  <c r="C254" i="3"/>
  <c r="D255" i="3"/>
  <c r="C255" i="3"/>
  <c r="D261" i="3"/>
  <c r="C261" i="3"/>
  <c r="D253" i="3"/>
  <c r="C253" i="3"/>
  <c r="D256" i="3"/>
  <c r="C256" i="3"/>
  <c r="D242" i="3"/>
  <c r="C242" i="3"/>
  <c r="D245" i="3"/>
  <c r="C245" i="3"/>
  <c r="D244" i="3"/>
  <c r="C244" i="3"/>
  <c r="D250" i="3"/>
  <c r="C250" i="3"/>
  <c r="D239" i="3"/>
  <c r="C239" i="3"/>
  <c r="D246" i="3"/>
  <c r="C246" i="3"/>
  <c r="D241" i="3"/>
  <c r="C241" i="3"/>
  <c r="D238" i="3"/>
  <c r="C238" i="3"/>
  <c r="D248" i="3"/>
  <c r="C248" i="3"/>
  <c r="D230" i="3"/>
  <c r="C230" i="3"/>
  <c r="C232" i="3"/>
  <c r="D231" i="3"/>
  <c r="C231" i="3"/>
  <c r="D215" i="3"/>
  <c r="C215" i="3"/>
  <c r="D228" i="3"/>
  <c r="C228" i="3"/>
  <c r="D233" i="3"/>
  <c r="C233" i="3"/>
  <c r="D237" i="3"/>
  <c r="C237" i="3"/>
  <c r="C223" i="3"/>
  <c r="C236" i="3"/>
  <c r="C220" i="3"/>
  <c r="D227" i="3"/>
  <c r="C227" i="3"/>
  <c r="D200" i="3"/>
  <c r="C200" i="3"/>
  <c r="D212" i="3"/>
  <c r="C212" i="3"/>
  <c r="D211" i="3"/>
  <c r="C211" i="3"/>
  <c r="D210" i="3"/>
  <c r="C210" i="3"/>
  <c r="D209" i="3"/>
  <c r="C209" i="3"/>
  <c r="D205" i="3"/>
  <c r="C205" i="3"/>
  <c r="D204" i="3"/>
  <c r="C204" i="3"/>
  <c r="D201" i="3"/>
  <c r="C201" i="3"/>
  <c r="C214" i="3"/>
  <c r="D202" i="3"/>
  <c r="C202" i="3"/>
  <c r="D206" i="3"/>
  <c r="C206" i="3"/>
  <c r="D199" i="3"/>
  <c r="C199" i="3"/>
  <c r="D188" i="3"/>
  <c r="C188" i="3"/>
  <c r="D189" i="3"/>
  <c r="C189" i="3"/>
  <c r="D193" i="3"/>
  <c r="C193" i="3"/>
  <c r="D196" i="3"/>
  <c r="C196" i="3"/>
  <c r="D195" i="3"/>
  <c r="C195" i="3"/>
  <c r="D190" i="3"/>
  <c r="C190" i="3"/>
  <c r="D198" i="3"/>
  <c r="C198" i="3"/>
  <c r="D194" i="3"/>
  <c r="C194" i="3"/>
  <c r="D187" i="3"/>
  <c r="C187" i="3"/>
  <c r="D191" i="3"/>
  <c r="C191" i="3"/>
  <c r="D180" i="3"/>
  <c r="C180" i="3"/>
  <c r="C181" i="3"/>
  <c r="D185" i="3"/>
  <c r="C185" i="3"/>
  <c r="D182" i="3"/>
  <c r="C182" i="3"/>
  <c r="D186" i="3"/>
  <c r="C186" i="3"/>
  <c r="D184" i="3"/>
  <c r="C184" i="3"/>
  <c r="D183" i="3"/>
  <c r="C183" i="3"/>
  <c r="D179" i="3"/>
  <c r="C179" i="3"/>
  <c r="C174" i="3"/>
  <c r="D172" i="3"/>
  <c r="C172" i="3"/>
  <c r="D176" i="3"/>
  <c r="C176" i="3"/>
  <c r="D178" i="3"/>
  <c r="C178" i="3"/>
  <c r="D177" i="3"/>
  <c r="C177" i="3"/>
  <c r="C175" i="3"/>
  <c r="D170" i="3"/>
  <c r="C170" i="3"/>
  <c r="D169" i="3"/>
  <c r="C169" i="3"/>
  <c r="D171" i="3"/>
  <c r="C171" i="3"/>
  <c r="C167" i="3"/>
  <c r="C163" i="3"/>
  <c r="D164" i="3"/>
  <c r="C164" i="3"/>
  <c r="D162" i="3"/>
  <c r="C162" i="3"/>
  <c r="D168" i="3"/>
  <c r="C168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<sst xmlns="http://schemas.openxmlformats.org/spreadsheetml/2006/main" count="615" uniqueCount="595">
  <si>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</si>
  <si>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</si>
  <si>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</si>
  <si>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</si>
  <si>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</si>
  <si>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</si>
  <si>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</si>
  <si>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</si>
  <si>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</si>
  <si>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</si>
  <si>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</si>
  <si>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</si>
  <si>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</si>
  <si>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</si>
  <si>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</si>
  <si>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</si>
  <si>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</si>
  <si>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</si>
  <si>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</si>
  <si>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</si>
  <si>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</si>
  <si>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</si>
  <si>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</si>
  <si>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</si>
  <si>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</si>
  <si>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</si>
  <si>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</si>
  <si>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</si>
  <si>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</si>
  <si>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</si>
  <si>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</si>
  <si>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</si>
  <si>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</si>
  <si>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</si>
  <si>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</si>
  <si>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</si>
  <si>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</si>
  <si>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</si>
  <si>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</si>
  <si>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</si>
  <si>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</si>
  <si>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</si>
  <si>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</si>
  <si>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</si>
  <si>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</si>
  <si>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</si>
  <si>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</si>
  <si>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</si>
  <si>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</si>
  <si>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</si>
  <si>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</si>
  <si>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</si>
  <si>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</si>
  <si>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</si>
  <si>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</si>
  <si>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</si>
  <si>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</si>
  <si>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</si>
  <si>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</si>
  <si>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</si>
  <si>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</si>
  <si>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</si>
  <si>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</si>
  <si>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</si>
  <si>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</si>
  <si>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</si>
  <si>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</si>
  <si>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</si>
  <si>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</si>
  <si>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</si>
  <si>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</si>
  <si>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</si>
  <si>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</si>
  <si>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</si>
  <si>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</si>
  <si>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</si>
  <si>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</si>
  <si>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</si>
  <si>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</si>
  <si>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</si>
  <si>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</si>
  <si>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</si>
  <si>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</si>
  <si>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</si>
  <si>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</si>
  <si>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</si>
  <si>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</si>
  <si>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</si>
  <si>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</si>
  <si>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</si>
  <si>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</si>
  <si>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</si>
  <si>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</si>
  <si>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</si>
  <si>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</si>
  <si>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</si>
  <si>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</si>
  <si>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</si>
  <si>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</si>
  <si>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</si>
  <si>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</si>
  <si>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</si>
  <si>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</si>
  <si>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</si>
  <si>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</si>
  <si>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</si>
  <si>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</si>
  <si>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</si>
  <si>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</si>
  <si>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</si>
  <si>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</si>
  <si>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</si>
  <si>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</si>
  <si>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</si>
  <si>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</si>
  <si>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</si>
  <si>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</si>
  <si>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</si>
  <si>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</si>
  <si>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</si>
  <si>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</si>
  <si>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</si>
  <si>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</si>
  <si>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</si>
  <si>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</si>
  <si>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</si>
  <si>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</si>
  <si>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</si>
  <si>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</si>
  <si>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</si>
  <si>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</si>
  <si>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</si>
  <si>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</si>
  <si>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</si>
  <si>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</si>
  <si>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</si>
  <si>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</si>
  <si>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</si>
  <si>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</si>
  <si>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</si>
  <si>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</si>
  <si>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</si>
  <si>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</si>
  <si>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</si>
  <si>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</si>
  <si>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</si>
  <si>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</si>
  <si>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</si>
  <si>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</si>
  <si>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</si>
  <si>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</si>
  <si>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</si>
  <si>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</si>
  <si>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</si>
  <si>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</si>
  <si>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</si>
  <si>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</si>
  <si>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</si>
  <si>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</si>
  <si>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</si>
  <si>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</si>
  <si>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</si>
  <si>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</si>
  <si>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</si>
  <si>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</si>
  <si>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</si>
  <si>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</si>
  <si>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</si>
  <si>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</si>
  <si>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</si>
  <si>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</si>
  <si>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</si>
  <si>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</si>
  <si>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</si>
  <si>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</si>
  <si>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</si>
  <si>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</si>
  <si>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</si>
  <si>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</si>
  <si>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</si>
  <si>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</si>
  <si>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</si>
  <si>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</si>
  <si>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</si>
  <si>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</si>
  <si>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</si>
  <si>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</si>
  <si>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</si>
  <si>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</si>
  <si>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</si>
  <si>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</si>
  <si>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</si>
  <si>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</si>
  <si>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</si>
  <si>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</si>
  <si>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</si>
  <si>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</si>
  <si>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</si>
  <si>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</si>
  <si>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</si>
  <si>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</si>
  <si>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</si>
  <si>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</si>
  <si>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</si>
  <si>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</si>
  <si>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</si>
  <si>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</si>
  <si>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</si>
  <si>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</si>
  <si>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</si>
  <si>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</si>
  <si>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</si>
  <si>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</si>
  <si>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</si>
  <si>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</si>
  <si>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</si>
  <si>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</si>
  <si>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</si>
  <si>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</si>
  <si>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</si>
  <si>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</si>
  <si>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</si>
  <si>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</si>
  <si>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</si>
  <si>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</si>
  <si>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</si>
  <si>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</si>
  <si>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</si>
  <si>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</si>
  <si>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</si>
  <si>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</si>
  <si>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</si>
  <si>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</si>
  <si>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</si>
  <si>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</si>
  <si>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</si>
  <si>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</si>
  <si>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</si>
  <si>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</si>
  <si>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</si>
  <si>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</si>
  <si>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</si>
  <si>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</si>
  <si>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</si>
  <si>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</si>
  <si>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</si>
  <si>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</si>
  <si>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</si>
  <si>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</si>
  <si>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</si>
  <si>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</si>
  <si>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</si>
  <si>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</si>
  <si>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</si>
  <si>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</si>
  <si>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</si>
  <si>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</si>
  <si>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</si>
  <si>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</si>
  <si>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</si>
  <si>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</si>
  <si>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</si>
  <si>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</si>
  <si>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</si>
  <si>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</si>
  <si>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</si>
  <si>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</si>
  <si>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</si>
  <si>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</si>
  <si>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</si>
  <si>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</si>
  <si>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</si>
  <si>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</si>
  <si>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</si>
  <si>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</si>
  <si>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</si>
  <si>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</si>
  <si>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</si>
  <si>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</si>
  <si>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</si>
  <si>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</si>
  <si>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</si>
  <si>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</si>
  <si>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</si>
  <si>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</si>
  <si>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</si>
  <si>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</si>
  <si>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</si>
  <si>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</si>
  <si>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</si>
  <si>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</si>
  <si>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</si>
  <si>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</si>
  <si>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</si>
  <si>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</si>
  <si>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</si>
  <si>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</si>
  <si>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</si>
  <si>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</si>
  <si>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</si>
  <si>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</si>
  <si>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</si>
  <si>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</si>
  <si>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</si>
  <si>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</si>
  <si>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</si>
  <si>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</si>
  <si>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</si>
  <si>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</si>
  <si>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</si>
  <si>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</si>
  <si>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</si>
  <si>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</si>
  <si>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</si>
  <si>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</si>
  <si>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</si>
  <si>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</si>
  <si>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</si>
  <si>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</si>
  <si>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</si>
  <si>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</si>
  <si>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</si>
  <si>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</si>
  <si>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</si>
  <si>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</si>
  <si>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</si>
  <si>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</si>
  <si>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</si>
  <si>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</si>
  <si>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</si>
  <si>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</si>
  <si>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</si>
  <si>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</si>
  <si>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</si>
  <si>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</si>
  <si>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</si>
  <si>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</si>
  <si>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</si>
  <si>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</si>
  <si>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</si>
  <si>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</si>
  <si>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</si>
  <si>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</si>
  <si>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</si>
  <si>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</si>
  <si>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</si>
  <si>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</si>
  <si>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</si>
  <si>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</si>
  <si>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</si>
  <si>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</si>
  <si>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</si>
  <si>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</si>
  <si>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</si>
  <si>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</si>
  <si>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</si>
  <si>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</si>
  <si>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</si>
  <si>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</si>
  <si>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</si>
  <si>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</si>
  <si>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</si>
  <si>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</si>
  <si>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</si>
  <si>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</si>
  <si>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</si>
  <si>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</si>
  <si>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</si>
  <si>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</si>
  <si>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</si>
  <si>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</si>
  <si>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ほり薬局</t>
  </si>
  <si>
    <t>高梁市南町４６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</si>
  <si>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</si>
  <si>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</si>
  <si>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</si>
  <si>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</si>
  <si>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</si>
  <si>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</si>
  <si>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</si>
  <si>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</si>
  <si>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</si>
  <si>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</si>
  <si>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</si>
  <si>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</si>
  <si>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</si>
  <si>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</si>
  <si>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</si>
  <si>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</si>
  <si>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</si>
  <si>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</si>
  <si>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</si>
  <si>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</si>
  <si>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</si>
  <si>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</si>
  <si>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</si>
  <si>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</si>
  <si>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</si>
  <si>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</si>
  <si>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</si>
  <si>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</si>
  <si>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</si>
  <si>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</si>
  <si>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</si>
  <si>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</si>
  <si>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</si>
  <si>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</si>
  <si>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</si>
  <si>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</si>
  <si>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</si>
  <si>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</si>
  <si>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</si>
  <si>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</si>
  <si>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</si>
  <si>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</si>
  <si>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</si>
  <si>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</si>
  <si>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</si>
  <si>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</si>
  <si>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</si>
  <si>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</si>
  <si>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</si>
  <si>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</si>
  <si>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</si>
  <si>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</si>
  <si>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</si>
  <si>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</si>
  <si>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</si>
  <si>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</si>
  <si>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</si>
  <si>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</si>
  <si>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</si>
  <si>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</si>
  <si>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</si>
  <si>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湯郷薬局</t>
  </si>
  <si>
    <t>芳徳薬局</t>
  </si>
  <si>
    <t>芳徳薬局　英田店</t>
  </si>
  <si>
    <t>とよくに薬局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</si>
  <si>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</si>
  <si>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</si>
  <si>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</si>
  <si>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</si>
  <si>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</si>
  <si>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</si>
  <si>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</si>
  <si>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</si>
  <si>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</si>
  <si>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</si>
  <si>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</si>
  <si>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</si>
  <si>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</si>
  <si>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</si>
  <si>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</si>
  <si>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</si>
  <si>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</si>
  <si>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</si>
  <si>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</si>
  <si>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</si>
  <si>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</si>
  <si>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</si>
  <si>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</si>
  <si>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</si>
  <si>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</si>
  <si>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</si>
  <si>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</si>
  <si>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</si>
  <si>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</si>
  <si>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</si>
  <si>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</si>
  <si>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</si>
  <si>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</si>
  <si>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</si>
  <si>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</si>
  <si>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</si>
  <si>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アルファー薬局　小田店</t>
  </si>
  <si>
    <t>ファーマシィ薬局やかげ</t>
  </si>
  <si>
    <t>ロマン薬局</t>
  </si>
  <si>
    <t>イヨウ薬局　矢掛店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</si>
  <si>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</si>
  <si>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</si>
  <si>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</si>
  <si>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</si>
  <si>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</si>
  <si>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</si>
  <si>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</si>
  <si>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</si>
  <si>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</si>
  <si>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</si>
  <si>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</si>
  <si>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</si>
  <si>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</si>
  <si>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</si>
  <si>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</si>
  <si>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</si>
  <si>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</si>
  <si>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</si>
  <si>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</si>
  <si>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</si>
  <si>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</si>
  <si>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</si>
  <si>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</si>
  <si>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</si>
  <si>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</si>
  <si>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</si>
  <si>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</si>
  <si>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</si>
  <si>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</si>
  <si>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</si>
  <si>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</si>
  <si>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</si>
  <si>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</si>
  <si>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</si>
  <si>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</si>
  <si>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</si>
  <si>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</si>
  <si>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</si>
  <si>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</si>
  <si>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</si>
  <si>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</si>
  <si>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</si>
  <si>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</si>
  <si>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</si>
  <si>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</si>
  <si>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</si>
  <si>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</si>
  <si>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</si>
  <si>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</si>
  <si>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</si>
  <si>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</si>
  <si>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</si>
  <si>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</si>
  <si>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</si>
  <si>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</si>
  <si>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</si>
  <si>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</si>
  <si>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</si>
  <si>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</si>
  <si>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</si>
  <si>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晴れの国母子訪問所</t>
  </si>
  <si>
    <t>笠岡市新賀３３１０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</si>
  <si>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</si>
  <si>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</si>
  <si>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</si>
  <si>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</si>
  <si>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</si>
  <si>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</si>
  <si>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</si>
  <si>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</si>
  <si>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</si>
  <si>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</si>
  <si>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</si>
  <si>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</si>
  <si>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</si>
  <si>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</si>
  <si>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</si>
  <si>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</si>
  <si>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</si>
  <si>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</si>
  <si>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</si>
  <si>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</si>
  <si>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</si>
  <si>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</si>
  <si>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</si>
  <si>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</si>
  <si>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</si>
  <si>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</si>
  <si>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</si>
  <si>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</si>
  <si>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</si>
  <si>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</si>
  <si>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</si>
  <si>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</si>
  <si>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</si>
  <si>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</si>
  <si>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</si>
  <si>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</si>
  <si>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</si>
  <si>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</si>
  <si>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</si>
  <si>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</si>
  <si>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</si>
  <si>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</si>
  <si>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</si>
  <si>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</si>
  <si>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</si>
  <si>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</si>
  <si>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</si>
  <si>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</si>
  <si>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</si>
  <si>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</si>
  <si>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</si>
  <si>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</si>
  <si>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指定小児慢性特定疾病医療機関（病院・診療所・介護医療院）</t>
  </si>
  <si>
    <t>指定小児慢性特定疾病医療機関（薬局）</t>
  </si>
  <si>
    <t>指定小児慢性特定疾病医療機関（訪問看護ステーション等）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</si>
</sst>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2E15F-1E54-4193-9BBB-821C393AAFD6}" name="テーブル病院" displayName="テーブル病院" ref="A3:E115" totalsRowShown="0">
  <autoFilter ref="A3:E115" xr:uid="{2B52E15F-1E54-4193-9BBB-821C393AAFD6}"/>
  <tableColumns count="5">
    <tableColumn id="1" xr3:uid="{37D85B7F-E196-426E-BCC5-4F3A4F9D1FC9}" name="NO" dataDxfId="4"/>
    <tableColumn id="2" xr3:uid="{3D1D769A-09CD-46BB-B8C8-0B3D6C8D440E}" name="名称" dataDxfId="5"/>
    <tableColumn id="3" xr3:uid="{2F943EE1-7780-4EA4-B02A-966B1208090A}" name="郵便番号" dataDxfId="14"/>
    <tableColumn id="4" xr3:uid="{8772E82D-05D2-43DE-80A3-698736F3F36C}" name="住所" dataDxfId="12"/>
    <tableColumn id="5" xr3:uid="{6D2EBDAF-A777-49F3-BBC5-051F3E1269DB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87E94D-4410-4F13-BE99-ED914C69D62B}" name="テーブル薬局" displayName="テーブル薬局" ref="A3:E293" totalsRowShown="0">
  <autoFilter ref="A3:E293" xr:uid="{DD87E94D-4410-4F13-BE99-ED914C69D62B}"/>
  <tableColumns count="5">
    <tableColumn id="1" xr3:uid="{0A922424-CD8C-42F0-81A7-98B99F68B501}" name="NO" dataDxfId="2"/>
    <tableColumn id="2" xr3:uid="{24574C0D-FAB8-46DB-928E-35CF2F63BED3}" name="名称" dataDxfId="3"/>
    <tableColumn id="3" xr3:uid="{829EB901-BEB3-405A-9372-25EC1C36C292}" name="郵便番号" dataDxfId="11"/>
    <tableColumn id="4" xr3:uid="{A12FCDFD-3D53-44CF-84AF-EE166AAA381E}" name="住所" dataDxfId="9"/>
    <tableColumn id="5" xr3:uid="{AAFE17B2-15E1-4F8D-9B1A-36575C5EFADF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5BD334-61DF-408D-95A1-750C71948845}" name="テーブル訪問看護" displayName="テーブル訪問看護" ref="A3:E49" totalsRowShown="0">
  <autoFilter ref="A3:E49" xr:uid="{165BD334-61DF-408D-95A1-750C71948845}"/>
  <tableColumns count="5">
    <tableColumn id="1" xr3:uid="{43CEDF26-9418-47FE-BF0D-0872D036136A}" name="NO" dataDxfId="0"/>
    <tableColumn id="2" xr3:uid="{E78639D1-BDA3-417E-B28A-273D99280493}" name="名称" dataDxfId="1"/>
    <tableColumn id="3" xr3:uid="{9C4CACFB-FDC6-48FD-85C2-6C6EE07D4946}" name="郵便番号" dataDxfId="8"/>
    <tableColumn id="4" xr3:uid="{32290875-1697-4779-A08F-5CF3D53E8174}" name="住所" dataDxfId="6"/>
    <tableColumn id="5" xr3:uid="{F8D3535E-4EC2-4643-A732-7CF3F3B161A6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38244-4501-4C0A-84C3-BFC31805049F}">
  <dimension ref="A1:E115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592</v>
      </c>
      <c r="B1" s="4"/>
      <c r="C1" s="4"/>
      <c r="D1" s="4"/>
      <c r="E1" s="4"/>
    </row>
    <row r="2" spans="1:5" ht="30" customHeight="1" x14ac:dyDescent="0.4">
      <c r="E2" s="5">
        <v>46054</v>
      </c>
    </row>
    <row r="3" spans="1:5" ht="30" customHeight="1" x14ac:dyDescent="0.4">
      <c r="A3" s="3" t="s">
        <v>591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2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48213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48213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48213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45AA-18BD-451A-A670-0ED659A94A71}">
  <dimension ref="A1:E293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593</v>
      </c>
      <c r="B1" s="4"/>
      <c r="C1" s="4"/>
      <c r="D1" s="4"/>
      <c r="E1" s="4"/>
    </row>
    <row r="2" spans="1:5" ht="30" customHeight="1" x14ac:dyDescent="0.4">
      <c r="E2" s="5">
        <v>46054</v>
      </c>
    </row>
    <row r="3" spans="1:5" ht="30" customHeight="1" x14ac:dyDescent="0.4">
      <c r="A3" s="3" t="s">
        <v>591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242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48213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216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501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219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498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232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220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246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222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235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224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223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238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237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248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233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229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230</v>
      </c>
      <c r="C30" s="2" t="str">
        <f>"708-0024"</f>
        <v>708-0024</v>
      </c>
      <c r="D30" s="2" t="s">
        <v>231</v>
      </c>
      <c r="E30" s="1">
        <v>46387</v>
      </c>
    </row>
    <row r="31" spans="1:5" ht="30" customHeight="1" x14ac:dyDescent="0.4">
      <c r="A31" s="3">
        <v>28</v>
      </c>
      <c r="B31" s="2" t="s">
        <v>228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215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249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247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212</v>
      </c>
      <c r="C38" s="2" t="str">
        <f>"708-1223"</f>
        <v>708-1223</v>
      </c>
      <c r="D38" s="2" t="str">
        <f>"津山市坂上２３０－１"</f>
        <v>津山市坂上２３０－１</v>
      </c>
      <c r="E38" s="1">
        <v>46387</v>
      </c>
    </row>
    <row r="39" spans="1:5" ht="30" customHeight="1" x14ac:dyDescent="0.4">
      <c r="A39" s="3">
        <v>36</v>
      </c>
      <c r="B39" s="2" t="s">
        <v>187</v>
      </c>
      <c r="C39" s="2" t="str">
        <f>"708-0051"</f>
        <v>708-0051</v>
      </c>
      <c r="D39" s="2" t="s">
        <v>188</v>
      </c>
      <c r="E39" s="1">
        <v>46387</v>
      </c>
    </row>
    <row r="40" spans="1:5" ht="30" customHeight="1" x14ac:dyDescent="0.4">
      <c r="A40" s="3">
        <v>37</v>
      </c>
      <c r="B40" s="2" t="s">
        <v>196</v>
      </c>
      <c r="C40" s="2" t="str">
        <f>"708-0884"</f>
        <v>708-0884</v>
      </c>
      <c r="D40" s="2" t="str">
        <f>"津山市津山口５７－４"</f>
        <v>津山市津山口５７－４</v>
      </c>
      <c r="E40" s="1">
        <v>46387</v>
      </c>
    </row>
    <row r="41" spans="1:5" ht="30" customHeight="1" x14ac:dyDescent="0.4">
      <c r="A41" s="3">
        <v>38</v>
      </c>
      <c r="B41" s="2" t="s">
        <v>244</v>
      </c>
      <c r="C41" s="2" t="str">
        <f>"708-0842"</f>
        <v>708-0842</v>
      </c>
      <c r="D41" s="2" t="str">
        <f>"津山市河辺１０３９－１　河辺クリニックモール１F"</f>
        <v>津山市河辺１０３９－１　河辺クリニックモール１F</v>
      </c>
      <c r="E41" s="1">
        <v>48213</v>
      </c>
    </row>
    <row r="42" spans="1:5" ht="30" customHeight="1" x14ac:dyDescent="0.4">
      <c r="A42" s="3">
        <v>39</v>
      </c>
      <c r="B42" s="2" t="s">
        <v>221</v>
      </c>
      <c r="C42" s="2" t="str">
        <f>"708-0006"</f>
        <v>708-0006</v>
      </c>
      <c r="D42" s="2" t="str">
        <f>"津山市小田中２２３－２"</f>
        <v>津山市小田中２２３－２</v>
      </c>
      <c r="E42" s="1">
        <v>46387</v>
      </c>
    </row>
    <row r="43" spans="1:5" ht="30" customHeight="1" x14ac:dyDescent="0.4">
      <c r="A43" s="3">
        <v>40</v>
      </c>
      <c r="B43" s="2" t="s">
        <v>194</v>
      </c>
      <c r="C43" s="2" t="str">
        <f>"708-0052"</f>
        <v>708-0052</v>
      </c>
      <c r="D43" s="2" t="s">
        <v>195</v>
      </c>
      <c r="E43" s="1">
        <v>46387</v>
      </c>
    </row>
    <row r="44" spans="1:5" ht="30" customHeight="1" x14ac:dyDescent="0.4">
      <c r="A44" s="3">
        <v>41</v>
      </c>
      <c r="B44" s="2" t="s">
        <v>225</v>
      </c>
      <c r="C44" s="2" t="str">
        <f>"708-0872"</f>
        <v>708-0872</v>
      </c>
      <c r="D44" s="2" t="str">
        <f>"津山市平福５４７－１"</f>
        <v>津山市平福５４７－１</v>
      </c>
      <c r="E44" s="1">
        <v>46387</v>
      </c>
    </row>
    <row r="45" spans="1:5" ht="30" customHeight="1" x14ac:dyDescent="0.4">
      <c r="A45" s="3">
        <v>42</v>
      </c>
      <c r="B45" s="2" t="s">
        <v>243</v>
      </c>
      <c r="C45" s="2" t="str">
        <f>"708-0036"</f>
        <v>708-0036</v>
      </c>
      <c r="D45" s="2" t="str">
        <f>"津山市南新座１７－４"</f>
        <v>津山市南新座１７－４</v>
      </c>
      <c r="E45" s="1">
        <v>48213</v>
      </c>
    </row>
    <row r="46" spans="1:5" ht="30" customHeight="1" x14ac:dyDescent="0.4">
      <c r="A46" s="3">
        <v>43</v>
      </c>
      <c r="B46" s="2" t="s">
        <v>185</v>
      </c>
      <c r="C46" s="2" t="str">
        <f>"708-0001"</f>
        <v>708-0001</v>
      </c>
      <c r="D46" s="2" t="s">
        <v>186</v>
      </c>
      <c r="E46" s="1">
        <v>46387</v>
      </c>
    </row>
    <row r="47" spans="1:5" ht="30" customHeight="1" x14ac:dyDescent="0.4">
      <c r="A47" s="3">
        <v>44</v>
      </c>
      <c r="B47" s="2" t="s">
        <v>208</v>
      </c>
      <c r="C47" s="2" t="str">
        <f>"708-0013"</f>
        <v>708-0013</v>
      </c>
      <c r="D47" s="2" t="str">
        <f>"津山市二宮１９００－１４"</f>
        <v>津山市二宮１９００－１４</v>
      </c>
      <c r="E47" s="1">
        <v>46387</v>
      </c>
    </row>
    <row r="48" spans="1:5" ht="30" customHeight="1" x14ac:dyDescent="0.4">
      <c r="A48" s="3">
        <v>45</v>
      </c>
      <c r="B48" s="2" t="s">
        <v>189</v>
      </c>
      <c r="C48" s="2" t="str">
        <f>"708-0813"</f>
        <v>708-0813</v>
      </c>
      <c r="D48" s="2" t="str">
        <f>"津山市山方３４－５"</f>
        <v>津山市山方３４－５</v>
      </c>
      <c r="E48" s="1">
        <v>46387</v>
      </c>
    </row>
    <row r="49" spans="1:5" ht="30" customHeight="1" x14ac:dyDescent="0.4">
      <c r="A49" s="3">
        <v>46</v>
      </c>
      <c r="B49" s="2" t="s">
        <v>239</v>
      </c>
      <c r="C49" s="2" t="str">
        <f>"708-1125"</f>
        <v>708-1125</v>
      </c>
      <c r="D49" s="2" t="str">
        <f>"津山市高野本郷１４３５－１６"</f>
        <v>津山市高野本郷１４３５－１６</v>
      </c>
      <c r="E49" s="1">
        <v>47848</v>
      </c>
    </row>
    <row r="50" spans="1:5" ht="30" customHeight="1" x14ac:dyDescent="0.4">
      <c r="A50" s="3">
        <v>47</v>
      </c>
      <c r="B50" s="2" t="s">
        <v>218</v>
      </c>
      <c r="C50" s="2" t="str">
        <f>"708-0022"</f>
        <v>708-0022</v>
      </c>
      <c r="D50" s="2" t="str">
        <f>"津山市山下９９－１１"</f>
        <v>津山市山下９９－１１</v>
      </c>
      <c r="E50" s="1">
        <v>46387</v>
      </c>
    </row>
    <row r="51" spans="1:5" ht="30" customHeight="1" x14ac:dyDescent="0.4">
      <c r="A51" s="3">
        <v>48</v>
      </c>
      <c r="B51" s="2" t="s">
        <v>236</v>
      </c>
      <c r="C51" s="2" t="str">
        <f>"708-1125"</f>
        <v>708-1125</v>
      </c>
      <c r="D51" s="2" t="str">
        <f>"津山市高野本郷１４１５－３"</f>
        <v>津山市高野本郷１４１５－３</v>
      </c>
      <c r="E51" s="1">
        <v>47118</v>
      </c>
    </row>
    <row r="52" spans="1:5" ht="30" customHeight="1" x14ac:dyDescent="0.4">
      <c r="A52" s="3">
        <v>49</v>
      </c>
      <c r="B52" s="2" t="s">
        <v>245</v>
      </c>
      <c r="C52" s="2" t="str">
        <f>"708-1126"</f>
        <v>708-1126</v>
      </c>
      <c r="D52" s="2" t="str">
        <f>"津山市押入1136-16"</f>
        <v>津山市押入1136-16</v>
      </c>
      <c r="E52" s="1">
        <v>46387</v>
      </c>
    </row>
    <row r="53" spans="1:5" ht="30" customHeight="1" x14ac:dyDescent="0.4">
      <c r="A53" s="3">
        <v>50</v>
      </c>
      <c r="B53" s="2" t="s">
        <v>210</v>
      </c>
      <c r="C53" s="2" t="str">
        <f>"708-0871"</f>
        <v>708-0871</v>
      </c>
      <c r="D53" s="2" t="str">
        <f>"津山市中島４２６－１"</f>
        <v>津山市中島４２６－１</v>
      </c>
      <c r="E53" s="1">
        <v>46387</v>
      </c>
    </row>
    <row r="54" spans="1:5" ht="30" customHeight="1" x14ac:dyDescent="0.4">
      <c r="A54" s="3">
        <v>51</v>
      </c>
      <c r="B54" s="2" t="s">
        <v>182</v>
      </c>
      <c r="C54" s="2" t="str">
        <f>"708-0052"</f>
        <v>708-0052</v>
      </c>
      <c r="D54" s="2" t="str">
        <f>"津山市田町２１－１"</f>
        <v>津山市田町２１－１</v>
      </c>
      <c r="E54" s="1">
        <v>46387</v>
      </c>
    </row>
    <row r="55" spans="1:5" ht="30" customHeight="1" x14ac:dyDescent="0.4">
      <c r="A55" s="3">
        <v>52</v>
      </c>
      <c r="B55" s="2" t="s">
        <v>213</v>
      </c>
      <c r="C55" s="2" t="str">
        <f>"709-3906"</f>
        <v>709-3906</v>
      </c>
      <c r="D55" s="2" t="str">
        <f>"津山市加茂町小中原３０－１"</f>
        <v>津山市加茂町小中原３０－１</v>
      </c>
      <c r="E55" s="1">
        <v>46387</v>
      </c>
    </row>
    <row r="56" spans="1:5" ht="30" customHeight="1" x14ac:dyDescent="0.4">
      <c r="A56" s="3">
        <v>53</v>
      </c>
      <c r="B56" s="2" t="s">
        <v>227</v>
      </c>
      <c r="C56" s="2" t="str">
        <f>"708-0825"</f>
        <v>708-0825</v>
      </c>
      <c r="D56" s="2" t="str">
        <f>"津山市志戸部６５１－６"</f>
        <v>津山市志戸部６５１－６</v>
      </c>
      <c r="E56" s="1">
        <v>46387</v>
      </c>
    </row>
    <row r="57" spans="1:5" ht="30" customHeight="1" x14ac:dyDescent="0.4">
      <c r="A57" s="3">
        <v>54</v>
      </c>
      <c r="B57" s="2" t="s">
        <v>200</v>
      </c>
      <c r="C57" s="2" t="str">
        <f>"708-0022"</f>
        <v>708-0022</v>
      </c>
      <c r="D57" s="2" t="str">
        <f>"津山市山下９－５"</f>
        <v>津山市山下９－５</v>
      </c>
      <c r="E57" s="1">
        <v>46387</v>
      </c>
    </row>
    <row r="58" spans="1:5" ht="30" customHeight="1" x14ac:dyDescent="0.4">
      <c r="A58" s="3">
        <v>55</v>
      </c>
      <c r="B58" s="2" t="s">
        <v>234</v>
      </c>
      <c r="C58" s="2" t="str">
        <f>"708-0006"</f>
        <v>708-0006</v>
      </c>
      <c r="D58" s="2" t="str">
        <f>"津山市小田中２３０－１５"</f>
        <v>津山市小田中２３０－１５</v>
      </c>
      <c r="E58" s="1">
        <v>46752</v>
      </c>
    </row>
    <row r="59" spans="1:5" ht="30" customHeight="1" x14ac:dyDescent="0.4">
      <c r="A59" s="3">
        <v>56</v>
      </c>
      <c r="B59" s="2" t="s">
        <v>217</v>
      </c>
      <c r="C59" s="2" t="str">
        <f>"708-0013"</f>
        <v>708-0013</v>
      </c>
      <c r="D59" s="2" t="str">
        <f>"津山市二宮１９６１－１"</f>
        <v>津山市二宮１９６１－１</v>
      </c>
      <c r="E59" s="1">
        <v>46387</v>
      </c>
    </row>
    <row r="60" spans="1:5" ht="30" customHeight="1" x14ac:dyDescent="0.4">
      <c r="A60" s="3">
        <v>57</v>
      </c>
      <c r="B60" s="2" t="s">
        <v>205</v>
      </c>
      <c r="C60" s="2" t="str">
        <f>"708-0036"</f>
        <v>708-0036</v>
      </c>
      <c r="D60" s="2" t="str">
        <f>"津山市南新座２４－８"</f>
        <v>津山市南新座２４－８</v>
      </c>
      <c r="E60" s="1">
        <v>46387</v>
      </c>
    </row>
    <row r="61" spans="1:5" ht="30" customHeight="1" x14ac:dyDescent="0.4">
      <c r="A61" s="3">
        <v>58</v>
      </c>
      <c r="B61" s="2" t="s">
        <v>226</v>
      </c>
      <c r="C61" s="2" t="str">
        <f>"708-0841"</f>
        <v>708-0841</v>
      </c>
      <c r="D61" s="2" t="str">
        <f>"津山市川崎１１３５－３"</f>
        <v>津山市川崎１１３５－３</v>
      </c>
      <c r="E61" s="1">
        <v>46387</v>
      </c>
    </row>
    <row r="62" spans="1:5" ht="30" customHeight="1" x14ac:dyDescent="0.4">
      <c r="A62" s="3">
        <v>59</v>
      </c>
      <c r="B62" s="2" t="s">
        <v>499</v>
      </c>
      <c r="C62" s="2" t="str">
        <f>"708-1204"</f>
        <v>708-1204</v>
      </c>
      <c r="D62" s="2" t="str">
        <f>"津山市日本原３４５－５"</f>
        <v>津山市日本原３４５－５</v>
      </c>
      <c r="E62" s="1">
        <v>46387</v>
      </c>
    </row>
    <row r="63" spans="1:5" ht="30" customHeight="1" x14ac:dyDescent="0.4">
      <c r="A63" s="3">
        <v>60</v>
      </c>
      <c r="B63" s="2" t="s">
        <v>207</v>
      </c>
      <c r="C63" s="2" t="str">
        <f>"708-0884"</f>
        <v>708-0884</v>
      </c>
      <c r="D63" s="2" t="str">
        <f>"津山市津山口３３０－４"</f>
        <v>津山市津山口３３０－４</v>
      </c>
      <c r="E63" s="1">
        <v>46387</v>
      </c>
    </row>
    <row r="64" spans="1:5" ht="30" customHeight="1" x14ac:dyDescent="0.4">
      <c r="A64" s="3">
        <v>61</v>
      </c>
      <c r="B64" s="2" t="s">
        <v>190</v>
      </c>
      <c r="C64" s="2" t="str">
        <f>"708-0842"</f>
        <v>708-0842</v>
      </c>
      <c r="D64" s="2" t="s">
        <v>191</v>
      </c>
      <c r="E64" s="1">
        <v>46387</v>
      </c>
    </row>
    <row r="65" spans="1:5" ht="30" customHeight="1" x14ac:dyDescent="0.4">
      <c r="A65" s="3">
        <v>62</v>
      </c>
      <c r="B65" s="2" t="s">
        <v>240</v>
      </c>
      <c r="C65" s="2" t="str">
        <f>"708-0036"</f>
        <v>708-0036</v>
      </c>
      <c r="D65" s="2" t="s">
        <v>241</v>
      </c>
      <c r="E65" s="1">
        <v>47848</v>
      </c>
    </row>
    <row r="66" spans="1:5" ht="30" customHeight="1" x14ac:dyDescent="0.4">
      <c r="A66" s="3">
        <v>63</v>
      </c>
      <c r="B66" s="2" t="s">
        <v>214</v>
      </c>
      <c r="C66" s="2" t="str">
        <f>"708-0036"</f>
        <v>708-0036</v>
      </c>
      <c r="D66" s="2" t="str">
        <f>"津山市南新座１０８－３"</f>
        <v>津山市南新座１０８－３</v>
      </c>
      <c r="E66" s="1">
        <v>46387</v>
      </c>
    </row>
    <row r="67" spans="1:5" ht="30" customHeight="1" x14ac:dyDescent="0.4">
      <c r="A67" s="3">
        <v>64</v>
      </c>
      <c r="B67" s="2" t="s">
        <v>201</v>
      </c>
      <c r="C67" s="2" t="str">
        <f>"708-1117"</f>
        <v>708-1117</v>
      </c>
      <c r="D67" s="2" t="str">
        <f>"津山市草加部９５４－９"</f>
        <v>津山市草加部９５４－９</v>
      </c>
      <c r="E67" s="1">
        <v>46387</v>
      </c>
    </row>
    <row r="68" spans="1:5" ht="30" customHeight="1" x14ac:dyDescent="0.4">
      <c r="A68" s="3">
        <v>65</v>
      </c>
      <c r="B68" s="2" t="s">
        <v>266</v>
      </c>
      <c r="C68" s="2" t="str">
        <f>"706-0011"</f>
        <v>706-0011</v>
      </c>
      <c r="D68" s="2" t="s">
        <v>267</v>
      </c>
      <c r="E68" s="1">
        <v>46387</v>
      </c>
    </row>
    <row r="69" spans="1:5" ht="30" customHeight="1" x14ac:dyDescent="0.4">
      <c r="A69" s="3">
        <v>66</v>
      </c>
      <c r="B69" s="2" t="s">
        <v>287</v>
      </c>
      <c r="C69" s="2" t="str">
        <f>"706-0011"</f>
        <v>706-0011</v>
      </c>
      <c r="D69" s="2" t="s">
        <v>288</v>
      </c>
      <c r="E69" s="1">
        <v>47848</v>
      </c>
    </row>
    <row r="70" spans="1:5" ht="30" customHeight="1" x14ac:dyDescent="0.4">
      <c r="A70" s="3">
        <v>67</v>
      </c>
      <c r="B70" s="2" t="s">
        <v>250</v>
      </c>
      <c r="C70" s="2" t="str">
        <f>"706-0011"</f>
        <v>706-0011</v>
      </c>
      <c r="D70" s="2" t="str">
        <f>"玉野市宇野２－１９－１８"</f>
        <v>玉野市宇野２－１９－１８</v>
      </c>
      <c r="E70" s="1">
        <v>46387</v>
      </c>
    </row>
    <row r="71" spans="1:5" ht="30" customHeight="1" x14ac:dyDescent="0.4">
      <c r="A71" s="3">
        <v>68</v>
      </c>
      <c r="B71" s="2" t="s">
        <v>268</v>
      </c>
      <c r="C71" s="2" t="str">
        <f>"706-0001"</f>
        <v>706-0001</v>
      </c>
      <c r="D71" s="2" t="s">
        <v>269</v>
      </c>
      <c r="E71" s="1">
        <v>46387</v>
      </c>
    </row>
    <row r="72" spans="1:5" ht="30" customHeight="1" x14ac:dyDescent="0.4">
      <c r="A72" s="3">
        <v>69</v>
      </c>
      <c r="B72" s="2" t="s">
        <v>286</v>
      </c>
      <c r="C72" s="2" t="str">
        <f>"706-0001"</f>
        <v>706-0001</v>
      </c>
      <c r="D72" s="2" t="s">
        <v>259</v>
      </c>
      <c r="E72" s="1">
        <v>47483</v>
      </c>
    </row>
    <row r="73" spans="1:5" ht="30" customHeight="1" x14ac:dyDescent="0.4">
      <c r="A73" s="3">
        <v>70</v>
      </c>
      <c r="B73" s="2" t="s">
        <v>273</v>
      </c>
      <c r="C73" s="2" t="str">
        <f>"706-0011"</f>
        <v>706-0011</v>
      </c>
      <c r="D73" s="2" t="str">
        <f>"玉野市宇野１丁目１２－２５"</f>
        <v>玉野市宇野１丁目１２－２５</v>
      </c>
      <c r="E73" s="1">
        <v>46387</v>
      </c>
    </row>
    <row r="74" spans="1:5" ht="30" customHeight="1" x14ac:dyDescent="0.4">
      <c r="A74" s="3">
        <v>71</v>
      </c>
      <c r="B74" s="2" t="s">
        <v>270</v>
      </c>
      <c r="C74" s="2" t="str">
        <f>"706-0021"</f>
        <v>706-0021</v>
      </c>
      <c r="D74" s="2" t="s">
        <v>271</v>
      </c>
      <c r="E74" s="1">
        <v>46387</v>
      </c>
    </row>
    <row r="75" spans="1:5" ht="30" customHeight="1" x14ac:dyDescent="0.4">
      <c r="A75" s="3">
        <v>72</v>
      </c>
      <c r="B75" s="2" t="s">
        <v>260</v>
      </c>
      <c r="C75" s="2" t="str">
        <f>"706-0141"</f>
        <v>706-0141</v>
      </c>
      <c r="D75" s="2" t="str">
        <f>"玉野市槌ケ原１０１７－８"</f>
        <v>玉野市槌ケ原１０１７－８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"706-0142"</f>
        <v>706-0142</v>
      </c>
      <c r="D76" s="2" t="str">
        <f>"玉野市迫間２１３７－１"</f>
        <v>玉野市迫間２１３７－１</v>
      </c>
      <c r="E76" s="1">
        <v>46387</v>
      </c>
    </row>
    <row r="77" spans="1:5" ht="30" customHeight="1" x14ac:dyDescent="0.4">
      <c r="A77" s="3">
        <v>74</v>
      </c>
      <c r="B77" s="2" t="s">
        <v>265</v>
      </c>
      <c r="C77" s="2" t="str">
        <f>"706-0011"</f>
        <v>706-0011</v>
      </c>
      <c r="D77" s="2" t="str">
        <f>"玉野市宇野１－１５－２５"</f>
        <v>玉野市宇野１－１５－２５</v>
      </c>
      <c r="E77" s="1">
        <v>46387</v>
      </c>
    </row>
    <row r="78" spans="1:5" ht="30" customHeight="1" x14ac:dyDescent="0.4">
      <c r="A78" s="3">
        <v>75</v>
      </c>
      <c r="B78" s="2" t="s">
        <v>261</v>
      </c>
      <c r="C78" s="2" t="str">
        <f>"706-0221"</f>
        <v>706-0221</v>
      </c>
      <c r="D78" s="2" t="str">
        <f>"玉野市八浜町八浜１４８４－７"</f>
        <v>玉野市八浜町八浜１４８４－７</v>
      </c>
      <c r="E78" s="1">
        <v>46387</v>
      </c>
    </row>
    <row r="79" spans="1:5" ht="30" customHeight="1" x14ac:dyDescent="0.4">
      <c r="A79" s="3">
        <v>76</v>
      </c>
      <c r="B79" s="2" t="s">
        <v>279</v>
      </c>
      <c r="C79" s="2" t="str">
        <f>"706-0011"</f>
        <v>706-0011</v>
      </c>
      <c r="D79" s="2" t="str">
        <f>"玉野市宇野２－６－２"</f>
        <v>玉野市宇野２－６－２</v>
      </c>
      <c r="E79" s="1">
        <v>46387</v>
      </c>
    </row>
    <row r="80" spans="1:5" ht="30" customHeight="1" x14ac:dyDescent="0.4">
      <c r="A80" s="3">
        <v>77</v>
      </c>
      <c r="B80" s="2" t="s">
        <v>283</v>
      </c>
      <c r="C80" s="2" t="str">
        <f>"706-0023"</f>
        <v>706-0023</v>
      </c>
      <c r="D80" s="2" t="str">
        <f>"玉野市深井町11-13"</f>
        <v>玉野市深井町11-13</v>
      </c>
      <c r="E80" s="1">
        <v>46752</v>
      </c>
    </row>
    <row r="81" spans="1:5" ht="30" customHeight="1" x14ac:dyDescent="0.4">
      <c r="A81" s="3">
        <v>78</v>
      </c>
      <c r="B81" s="2" t="s">
        <v>274</v>
      </c>
      <c r="C81" s="2" t="str">
        <f>"706-0132"</f>
        <v>706-0132</v>
      </c>
      <c r="D81" s="2" t="str">
        <f>"玉野市用吉１６７６－７"</f>
        <v>玉野市用吉１６７６－７</v>
      </c>
      <c r="E81" s="1">
        <v>46387</v>
      </c>
    </row>
    <row r="82" spans="1:5" ht="30" customHeight="1" x14ac:dyDescent="0.4">
      <c r="A82" s="3">
        <v>79</v>
      </c>
      <c r="B82" s="2" t="s">
        <v>282</v>
      </c>
      <c r="C82" s="2" t="str">
        <f>"706-0001"</f>
        <v>706-0001</v>
      </c>
      <c r="D82" s="2" t="str">
        <f>"玉野市田井３－２－１２"</f>
        <v>玉野市田井３－２－１２</v>
      </c>
      <c r="E82" s="1">
        <v>47848</v>
      </c>
    </row>
    <row r="83" spans="1:5" ht="30" customHeight="1" x14ac:dyDescent="0.4">
      <c r="A83" s="3">
        <v>80</v>
      </c>
      <c r="B83" s="2" t="s">
        <v>254</v>
      </c>
      <c r="C83" s="2" t="str">
        <f>"706-0011"</f>
        <v>706-0011</v>
      </c>
      <c r="D83" s="2" t="str">
        <f>"玉野市宇野８－３－１０"</f>
        <v>玉野市宇野８－３－１０</v>
      </c>
      <c r="E83" s="1">
        <v>46387</v>
      </c>
    </row>
    <row r="84" spans="1:5" ht="30" customHeight="1" x14ac:dyDescent="0.4">
      <c r="A84" s="3">
        <v>81</v>
      </c>
      <c r="B84" s="2" t="s">
        <v>262</v>
      </c>
      <c r="C84" s="2" t="str">
        <f>"706-0134"</f>
        <v>706-0134</v>
      </c>
      <c r="D84" s="2" t="str">
        <f>"玉野市東高崎２６－１２４"</f>
        <v>玉野市東高崎２６－１２４</v>
      </c>
      <c r="E84" s="1">
        <v>46387</v>
      </c>
    </row>
    <row r="85" spans="1:5" ht="30" customHeight="1" x14ac:dyDescent="0.4">
      <c r="A85" s="3">
        <v>82</v>
      </c>
      <c r="B85" s="2" t="s">
        <v>277</v>
      </c>
      <c r="C85" s="2" t="str">
        <f>"706-0026"</f>
        <v>706-0026</v>
      </c>
      <c r="D85" s="2" t="s">
        <v>278</v>
      </c>
      <c r="E85" s="1">
        <v>46387</v>
      </c>
    </row>
    <row r="86" spans="1:5" ht="30" customHeight="1" x14ac:dyDescent="0.4">
      <c r="A86" s="3">
        <v>83</v>
      </c>
      <c r="B86" s="2" t="s">
        <v>280</v>
      </c>
      <c r="C86" s="2" t="str">
        <f>"706-0011"</f>
        <v>706-0011</v>
      </c>
      <c r="D86" s="2" t="str">
        <f>"玉野市宇野１－３８－１"</f>
        <v>玉野市宇野１－３８－１</v>
      </c>
      <c r="E86" s="1">
        <v>46387</v>
      </c>
    </row>
    <row r="87" spans="1:5" ht="30" customHeight="1" x14ac:dyDescent="0.4">
      <c r="A87" s="3">
        <v>84</v>
      </c>
      <c r="B87" s="2" t="s">
        <v>258</v>
      </c>
      <c r="C87" s="2" t="str">
        <f>"706-0011"</f>
        <v>706-0011</v>
      </c>
      <c r="D87" s="2" t="str">
        <f>"玉野市宇野一丁目１４－３０"</f>
        <v>玉野市宇野一丁目１４－３０</v>
      </c>
      <c r="E87" s="1">
        <v>46387</v>
      </c>
    </row>
    <row r="88" spans="1:5" ht="30" customHeight="1" x14ac:dyDescent="0.4">
      <c r="A88" s="3">
        <v>85</v>
      </c>
      <c r="B88" s="2" t="s">
        <v>276</v>
      </c>
      <c r="C88" s="2" t="str">
        <f>"706-0312"</f>
        <v>706-0312</v>
      </c>
      <c r="D88" s="2" t="s">
        <v>29</v>
      </c>
      <c r="E88" s="1">
        <v>46387</v>
      </c>
    </row>
    <row r="89" spans="1:5" ht="30" customHeight="1" x14ac:dyDescent="0.4">
      <c r="A89" s="3">
        <v>86</v>
      </c>
      <c r="B89" s="2" t="s">
        <v>289</v>
      </c>
      <c r="C89" s="2" t="str">
        <f>"706-0011"</f>
        <v>706-0011</v>
      </c>
      <c r="D89" s="2" t="str">
        <f>"玉野市宇野２丁目１－２４"</f>
        <v>玉野市宇野２丁目１－２４</v>
      </c>
      <c r="E89" s="1">
        <v>47848</v>
      </c>
    </row>
    <row r="90" spans="1:5" ht="30" customHeight="1" x14ac:dyDescent="0.4">
      <c r="A90" s="3">
        <v>87</v>
      </c>
      <c r="B90" s="2" t="s">
        <v>284</v>
      </c>
      <c r="C90" s="2" t="str">
        <f>"706-0001"</f>
        <v>706-0001</v>
      </c>
      <c r="D90" s="2" t="s">
        <v>285</v>
      </c>
      <c r="E90" s="1">
        <v>47483</v>
      </c>
    </row>
    <row r="91" spans="1:5" ht="30" customHeight="1" x14ac:dyDescent="0.4">
      <c r="A91" s="3">
        <v>88</v>
      </c>
      <c r="B91" s="2" t="s">
        <v>272</v>
      </c>
      <c r="C91" s="2" t="str">
        <f>"706-0021"</f>
        <v>706-0021</v>
      </c>
      <c r="D91" s="2" t="str">
        <f>"玉野市和田５丁目８２３－１"</f>
        <v>玉野市和田５丁目８２３－１</v>
      </c>
      <c r="E91" s="1">
        <v>46387</v>
      </c>
    </row>
    <row r="92" spans="1:5" ht="30" customHeight="1" x14ac:dyDescent="0.4">
      <c r="A92" s="3">
        <v>89</v>
      </c>
      <c r="B92" s="2" t="s">
        <v>251</v>
      </c>
      <c r="C92" s="2" t="str">
        <f>"706-0011"</f>
        <v>706-0011</v>
      </c>
      <c r="D92" s="2" t="str">
        <f>"玉野市宇野２－３２－８"</f>
        <v>玉野市宇野２－３２－８</v>
      </c>
      <c r="E92" s="1">
        <v>46387</v>
      </c>
    </row>
    <row r="93" spans="1:5" ht="30" customHeight="1" x14ac:dyDescent="0.4">
      <c r="A93" s="3">
        <v>90</v>
      </c>
      <c r="B93" s="2" t="s">
        <v>281</v>
      </c>
      <c r="C93" s="2" t="str">
        <f>"706-0001"</f>
        <v>706-0001</v>
      </c>
      <c r="D93" s="2" t="str">
        <f>"玉野市田井５丁目３－２２－５号"</f>
        <v>玉野市田井５丁目３－２２－５号</v>
      </c>
      <c r="E93" s="1">
        <v>47118</v>
      </c>
    </row>
    <row r="94" spans="1:5" ht="30" customHeight="1" x14ac:dyDescent="0.4">
      <c r="A94" s="3">
        <v>91</v>
      </c>
      <c r="B94" s="2" t="s">
        <v>290</v>
      </c>
      <c r="C94" s="2" t="str">
        <f>"706-0011"</f>
        <v>706-0011</v>
      </c>
      <c r="D94" s="2" t="s">
        <v>275</v>
      </c>
      <c r="E94" s="1">
        <v>47848</v>
      </c>
    </row>
    <row r="95" spans="1:5" ht="30" customHeight="1" x14ac:dyDescent="0.4">
      <c r="A95" s="3">
        <v>92</v>
      </c>
      <c r="B95" s="2" t="s">
        <v>255</v>
      </c>
      <c r="C95" s="2" t="str">
        <f>"706-0002"</f>
        <v>706-0002</v>
      </c>
      <c r="D95" s="2" t="str">
        <f>"玉野市築港１－１５－２３"</f>
        <v>玉野市築港１－１５－２３</v>
      </c>
      <c r="E95" s="1">
        <v>46387</v>
      </c>
    </row>
    <row r="96" spans="1:5" ht="30" customHeight="1" x14ac:dyDescent="0.4">
      <c r="A96" s="3">
        <v>93</v>
      </c>
      <c r="B96" s="2" t="s">
        <v>291</v>
      </c>
      <c r="C96" s="2" t="str">
        <f>"706-0011"</f>
        <v>706-0011</v>
      </c>
      <c r="D96" s="2" t="str">
        <f>"玉野市宇野１－２２－１４"</f>
        <v>玉野市宇野１－２２－１４</v>
      </c>
      <c r="E96" s="1">
        <v>47848</v>
      </c>
    </row>
    <row r="97" spans="1:5" ht="30" customHeight="1" x14ac:dyDescent="0.4">
      <c r="A97" s="3">
        <v>94</v>
      </c>
      <c r="B97" s="2" t="s">
        <v>256</v>
      </c>
      <c r="C97" s="2" t="str">
        <f>"706-0133"</f>
        <v>706-0133</v>
      </c>
      <c r="D97" s="2" t="s">
        <v>257</v>
      </c>
      <c r="E97" s="1">
        <v>46387</v>
      </c>
    </row>
    <row r="98" spans="1:5" ht="30" customHeight="1" x14ac:dyDescent="0.4">
      <c r="A98" s="3">
        <v>95</v>
      </c>
      <c r="B98" s="2" t="s">
        <v>252</v>
      </c>
      <c r="C98" s="2" t="str">
        <f>"706-0001"</f>
        <v>706-0001</v>
      </c>
      <c r="D98" s="2" t="s">
        <v>253</v>
      </c>
      <c r="E98" s="1">
        <v>46387</v>
      </c>
    </row>
    <row r="99" spans="1:5" ht="30" customHeight="1" x14ac:dyDescent="0.4">
      <c r="A99" s="3">
        <v>96</v>
      </c>
      <c r="B99" s="2" t="s">
        <v>263</v>
      </c>
      <c r="C99" s="2" t="str">
        <f>"706-0021"</f>
        <v>706-0021</v>
      </c>
      <c r="D99" s="2" t="str">
        <f>"玉野市和田３丁目４－１０"</f>
        <v>玉野市和田３丁目４－１０</v>
      </c>
      <c r="E99" s="1">
        <v>46387</v>
      </c>
    </row>
    <row r="100" spans="1:5" ht="30" customHeight="1" x14ac:dyDescent="0.4">
      <c r="A100" s="3">
        <v>97</v>
      </c>
      <c r="B100" s="2" t="s">
        <v>307</v>
      </c>
      <c r="C100" s="2" t="str">
        <f>"714-0086"</f>
        <v>714-0086</v>
      </c>
      <c r="D100" s="2" t="str">
        <f>"笠岡市五番町5-1"</f>
        <v>笠岡市五番町5-1</v>
      </c>
      <c r="E100" s="1">
        <v>47483</v>
      </c>
    </row>
    <row r="101" spans="1:5" ht="30" customHeight="1" x14ac:dyDescent="0.4">
      <c r="A101" s="3">
        <v>98</v>
      </c>
      <c r="B101" s="2" t="s">
        <v>303</v>
      </c>
      <c r="C101" s="2" t="str">
        <f>"714-0081"</f>
        <v>714-0081</v>
      </c>
      <c r="D101" s="2" t="str">
        <f>"笠岡市笠岡５１０１－４"</f>
        <v>笠岡市笠岡５１０１－４</v>
      </c>
      <c r="E101" s="1">
        <v>46387</v>
      </c>
    </row>
    <row r="102" spans="1:5" ht="30" customHeight="1" x14ac:dyDescent="0.4">
      <c r="A102" s="3">
        <v>99</v>
      </c>
      <c r="B102" s="2" t="s">
        <v>297</v>
      </c>
      <c r="C102" s="2" t="str">
        <f>"714-0013"</f>
        <v>714-0013</v>
      </c>
      <c r="D102" s="2" t="str">
        <f>"笠岡市大井南２９－４"</f>
        <v>笠岡市大井南２９－４</v>
      </c>
      <c r="E102" s="1">
        <v>46387</v>
      </c>
    </row>
    <row r="103" spans="1:5" ht="30" customHeight="1" x14ac:dyDescent="0.4">
      <c r="A103" s="3">
        <v>100</v>
      </c>
      <c r="B103" s="2" t="s">
        <v>306</v>
      </c>
      <c r="C103" s="2" t="str">
        <f>"714-0022"</f>
        <v>714-0022</v>
      </c>
      <c r="D103" s="2" t="str">
        <f>"笠岡市今立２９０５－２"</f>
        <v>笠岡市今立２９０５－２</v>
      </c>
      <c r="E103" s="1">
        <v>47118</v>
      </c>
    </row>
    <row r="104" spans="1:5" ht="30" customHeight="1" x14ac:dyDescent="0.4">
      <c r="A104" s="3">
        <v>101</v>
      </c>
      <c r="B104" s="2" t="s">
        <v>302</v>
      </c>
      <c r="C104" s="2" t="str">
        <f>"714-0096"</f>
        <v>714-0096</v>
      </c>
      <c r="D104" s="2" t="str">
        <f>"笠岡市九番町２－２３"</f>
        <v>笠岡市九番町２－２３</v>
      </c>
      <c r="E104" s="1">
        <v>46387</v>
      </c>
    </row>
    <row r="105" spans="1:5" ht="30" customHeight="1" x14ac:dyDescent="0.4">
      <c r="A105" s="3">
        <v>102</v>
      </c>
      <c r="B105" s="2" t="s">
        <v>304</v>
      </c>
      <c r="C105" s="2" t="str">
        <f>"714-0081"</f>
        <v>714-0081</v>
      </c>
      <c r="D105" s="2" t="str">
        <f>"笠岡市笠岡５８９１－１１"</f>
        <v>笠岡市笠岡５８９１－１１</v>
      </c>
      <c r="E105" s="1">
        <v>46387</v>
      </c>
    </row>
    <row r="106" spans="1:5" ht="30" customHeight="1" x14ac:dyDescent="0.4">
      <c r="A106" s="3">
        <v>103</v>
      </c>
      <c r="B106" s="2" t="s">
        <v>292</v>
      </c>
      <c r="C106" s="2" t="str">
        <f>"714-0057"</f>
        <v>714-0057</v>
      </c>
      <c r="D106" s="2" t="s">
        <v>293</v>
      </c>
      <c r="E106" s="1">
        <v>46387</v>
      </c>
    </row>
    <row r="107" spans="1:5" ht="30" customHeight="1" x14ac:dyDescent="0.4">
      <c r="A107" s="3">
        <v>104</v>
      </c>
      <c r="B107" s="2" t="s">
        <v>294</v>
      </c>
      <c r="C107" s="2" t="str">
        <f>"714-0084"</f>
        <v>714-0084</v>
      </c>
      <c r="D107" s="2" t="str">
        <f>"笠岡市三番町４－１０"</f>
        <v>笠岡市三番町４－１０</v>
      </c>
      <c r="E107" s="1">
        <v>46387</v>
      </c>
    </row>
    <row r="108" spans="1:5" ht="30" customHeight="1" x14ac:dyDescent="0.4">
      <c r="A108" s="3">
        <v>105</v>
      </c>
      <c r="B108" s="2" t="s">
        <v>301</v>
      </c>
      <c r="C108" s="2" t="str">
        <f>"714-0086"</f>
        <v>714-0086</v>
      </c>
      <c r="D108" s="2" t="str">
        <f>"笠岡市五番町５－３４"</f>
        <v>笠岡市五番町５－３４</v>
      </c>
      <c r="E108" s="1">
        <v>46387</v>
      </c>
    </row>
    <row r="109" spans="1:5" ht="30" customHeight="1" x14ac:dyDescent="0.4">
      <c r="A109" s="3">
        <v>106</v>
      </c>
      <c r="B109" s="2" t="s">
        <v>300</v>
      </c>
      <c r="C109" s="2" t="str">
        <f>"714-0081"</f>
        <v>714-0081</v>
      </c>
      <c r="D109" s="2" t="str">
        <f>"笠岡市笠岡５６１８－１７"</f>
        <v>笠岡市笠岡５６１８－１７</v>
      </c>
      <c r="E109" s="1">
        <v>46387</v>
      </c>
    </row>
    <row r="110" spans="1:5" ht="30" customHeight="1" x14ac:dyDescent="0.4">
      <c r="A110" s="3">
        <v>107</v>
      </c>
      <c r="B110" s="2" t="s">
        <v>189</v>
      </c>
      <c r="C110" s="2" t="str">
        <f>"714-0081"</f>
        <v>714-0081</v>
      </c>
      <c r="D110" s="2" t="str">
        <f>"笠岡市笠岡２２６５－１"</f>
        <v>笠岡市笠岡２２６５－１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"714-0081"</f>
        <v>714-0081</v>
      </c>
      <c r="D111" s="2" t="str">
        <f>"笠岡市笠岡５６２８－３４"</f>
        <v>笠岡市笠岡５６２８－３４</v>
      </c>
      <c r="E111" s="1">
        <v>46387</v>
      </c>
    </row>
    <row r="112" spans="1:5" ht="30" customHeight="1" x14ac:dyDescent="0.4">
      <c r="A112" s="3">
        <v>109</v>
      </c>
      <c r="B112" s="2" t="s">
        <v>299</v>
      </c>
      <c r="C112" s="2" t="str">
        <f>"714-0043"</f>
        <v>714-0043</v>
      </c>
      <c r="D112" s="2" t="str">
        <f>"笠岡市横島１９４４－１"</f>
        <v>笠岡市横島１９４４－１</v>
      </c>
      <c r="E112" s="1">
        <v>46387</v>
      </c>
    </row>
    <row r="113" spans="1:5" ht="30" customHeight="1" x14ac:dyDescent="0.4">
      <c r="A113" s="3">
        <v>110</v>
      </c>
      <c r="B113" s="2" t="s">
        <v>295</v>
      </c>
      <c r="C113" s="2" t="str">
        <f>"714-0031"</f>
        <v>714-0031</v>
      </c>
      <c r="D113" s="2" t="s">
        <v>296</v>
      </c>
      <c r="E113" s="1">
        <v>46387</v>
      </c>
    </row>
    <row r="114" spans="1:5" ht="30" customHeight="1" x14ac:dyDescent="0.4">
      <c r="A114" s="3">
        <v>111</v>
      </c>
      <c r="B114" s="2" t="s">
        <v>305</v>
      </c>
      <c r="C114" s="2" t="str">
        <f>"714-0042"</f>
        <v>714-0042</v>
      </c>
      <c r="D114" s="2" t="str">
        <f>"笠岡市美の浜２９－６６"</f>
        <v>笠岡市美の浜２９－６６</v>
      </c>
      <c r="E114" s="1">
        <v>46752</v>
      </c>
    </row>
    <row r="115" spans="1:5" ht="30" customHeight="1" x14ac:dyDescent="0.4">
      <c r="A115" s="3">
        <v>112</v>
      </c>
      <c r="B115" s="2" t="s">
        <v>309</v>
      </c>
      <c r="C115" s="2" t="str">
        <f>"714-0092"</f>
        <v>714-0092</v>
      </c>
      <c r="D115" s="2" t="str">
        <f>"笠岡市富岡２５６－１０"</f>
        <v>笠岡市富岡２５６－１０</v>
      </c>
      <c r="E115" s="1">
        <v>47848</v>
      </c>
    </row>
    <row r="116" spans="1:5" ht="30" customHeight="1" x14ac:dyDescent="0.4">
      <c r="A116" s="3">
        <v>113</v>
      </c>
      <c r="B116" s="2" t="s">
        <v>308</v>
      </c>
      <c r="C116" s="2" t="str">
        <f>"714-0083"</f>
        <v>714-0083</v>
      </c>
      <c r="D116" s="2" t="str">
        <f>"笠岡市二番町７－１０"</f>
        <v>笠岡市二番町７－１０</v>
      </c>
      <c r="E116" s="1">
        <v>47848</v>
      </c>
    </row>
    <row r="117" spans="1:5" ht="30" customHeight="1" x14ac:dyDescent="0.4">
      <c r="A117" s="3">
        <v>114</v>
      </c>
      <c r="B117" s="2" t="s">
        <v>316</v>
      </c>
      <c r="C117" s="2" t="str">
        <f>"715-0021"</f>
        <v>715-0021</v>
      </c>
      <c r="D117" s="2" t="str">
        <f>"井原市上出部町５００－１"</f>
        <v>井原市上出部町５００－１</v>
      </c>
      <c r="E117" s="1">
        <v>46387</v>
      </c>
    </row>
    <row r="118" spans="1:5" ht="30" customHeight="1" x14ac:dyDescent="0.4">
      <c r="A118" s="3">
        <v>115</v>
      </c>
      <c r="B118" s="2" t="s">
        <v>315</v>
      </c>
      <c r="C118" s="2" t="str">
        <f>"714-1407"</f>
        <v>714-1407</v>
      </c>
      <c r="D118" s="2" t="str">
        <f>"井原市美星町黒忠２９５６－２"</f>
        <v>井原市美星町黒忠２９５６－２</v>
      </c>
      <c r="E118" s="1">
        <v>46387</v>
      </c>
    </row>
    <row r="119" spans="1:5" ht="30" customHeight="1" x14ac:dyDescent="0.4">
      <c r="A119" s="3">
        <v>116</v>
      </c>
      <c r="B119" s="2" t="s">
        <v>320</v>
      </c>
      <c r="C119" s="2" t="str">
        <f>"714-1411"</f>
        <v>714-1411</v>
      </c>
      <c r="D119" s="2" t="str">
        <f>"井原市美星町大倉２４６７－４"</f>
        <v>井原市美星町大倉２４６７－４</v>
      </c>
      <c r="E119" s="1">
        <v>46387</v>
      </c>
    </row>
    <row r="120" spans="1:5" ht="30" customHeight="1" x14ac:dyDescent="0.4">
      <c r="A120" s="3">
        <v>117</v>
      </c>
      <c r="B120" s="2" t="s">
        <v>312</v>
      </c>
      <c r="C120" s="2" t="str">
        <f>"715-0019"</f>
        <v>715-0019</v>
      </c>
      <c r="D120" s="2" t="str">
        <f>"井原市井原町１２０５－５"</f>
        <v>井原市井原町１２０５－５</v>
      </c>
      <c r="E120" s="1">
        <v>46387</v>
      </c>
    </row>
    <row r="121" spans="1:5" ht="30" customHeight="1" x14ac:dyDescent="0.4">
      <c r="A121" s="3">
        <v>118</v>
      </c>
      <c r="B121" s="2" t="s">
        <v>326</v>
      </c>
      <c r="C121" s="2" t="str">
        <f>"715-0019"</f>
        <v>715-0019</v>
      </c>
      <c r="D121" s="2" t="s">
        <v>327</v>
      </c>
      <c r="E121" s="1">
        <v>46387</v>
      </c>
    </row>
    <row r="122" spans="1:5" ht="30" customHeight="1" x14ac:dyDescent="0.4">
      <c r="A122" s="3">
        <v>119</v>
      </c>
      <c r="B122" s="2" t="s">
        <v>324</v>
      </c>
      <c r="C122" s="2" t="str">
        <f>"714-2102"</f>
        <v>714-2102</v>
      </c>
      <c r="D122" s="2" t="str">
        <f>"井原市芳井町与井44-1"</f>
        <v>井原市芳井町与井44-1</v>
      </c>
      <c r="E122" s="1">
        <v>46387</v>
      </c>
    </row>
    <row r="123" spans="1:5" ht="30" customHeight="1" x14ac:dyDescent="0.4">
      <c r="A123" s="3">
        <v>120</v>
      </c>
      <c r="B123" s="2" t="s">
        <v>311</v>
      </c>
      <c r="C123" s="2" t="str">
        <f>"715-0014"</f>
        <v>715-0014</v>
      </c>
      <c r="D123" s="2" t="str">
        <f>"井原市七日市町１３１－２"</f>
        <v>井原市七日市町１３１－２</v>
      </c>
      <c r="E123" s="1">
        <v>46387</v>
      </c>
    </row>
    <row r="124" spans="1:5" ht="30" customHeight="1" x14ac:dyDescent="0.4">
      <c r="A124" s="3">
        <v>121</v>
      </c>
      <c r="B124" s="2" t="s">
        <v>310</v>
      </c>
      <c r="C124" s="2" t="str">
        <f>"715-0025"</f>
        <v>715-0025</v>
      </c>
      <c r="D124" s="2" t="str">
        <f>"井原市笹賀町２－２１－７"</f>
        <v>井原市笹賀町２－２１－７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"715-0024"</f>
        <v>715-0024</v>
      </c>
      <c r="D125" s="2" t="str">
        <f>"井原市高屋町４－２４－９"</f>
        <v>井原市高屋町４－２４－９</v>
      </c>
      <c r="E125" s="1">
        <v>46387</v>
      </c>
    </row>
    <row r="126" spans="1:5" ht="30" customHeight="1" x14ac:dyDescent="0.4">
      <c r="A126" s="3">
        <v>123</v>
      </c>
      <c r="B126" s="2" t="s">
        <v>318</v>
      </c>
      <c r="C126" s="2" t="str">
        <f>"714-2111"</f>
        <v>714-2111</v>
      </c>
      <c r="D126" s="2" t="s">
        <v>319</v>
      </c>
      <c r="E126" s="1">
        <v>46387</v>
      </c>
    </row>
    <row r="127" spans="1:5" ht="30" customHeight="1" x14ac:dyDescent="0.4">
      <c r="A127" s="3">
        <v>124</v>
      </c>
      <c r="B127" s="2" t="s">
        <v>313</v>
      </c>
      <c r="C127" s="2" t="str">
        <f>"715-0019"</f>
        <v>715-0019</v>
      </c>
      <c r="D127" s="2" t="s">
        <v>314</v>
      </c>
      <c r="E127" s="1">
        <v>46387</v>
      </c>
    </row>
    <row r="128" spans="1:5" ht="30" customHeight="1" x14ac:dyDescent="0.4">
      <c r="A128" s="3">
        <v>125</v>
      </c>
      <c r="B128" s="2" t="s">
        <v>323</v>
      </c>
      <c r="C128" s="2" t="str">
        <f>"715-0019"</f>
        <v>715-0019</v>
      </c>
      <c r="D128" s="2" t="str">
        <f>"井原市井原町５４３－９"</f>
        <v>井原市井原町５４３－９</v>
      </c>
      <c r="E128" s="1">
        <v>46387</v>
      </c>
    </row>
    <row r="129" spans="1:5" ht="30" customHeight="1" x14ac:dyDescent="0.4">
      <c r="A129" s="3">
        <v>126</v>
      </c>
      <c r="B129" s="2" t="s">
        <v>328</v>
      </c>
      <c r="C129" s="2" t="str">
        <f>"715-0024"</f>
        <v>715-0024</v>
      </c>
      <c r="D129" s="2" t="str">
        <f>"井原市高屋町２４６－１"</f>
        <v>井原市高屋町２４６－１</v>
      </c>
      <c r="E129" s="1">
        <v>48213</v>
      </c>
    </row>
    <row r="130" spans="1:5" ht="30" customHeight="1" x14ac:dyDescent="0.4">
      <c r="A130" s="3">
        <v>127</v>
      </c>
      <c r="B130" s="2" t="s">
        <v>325</v>
      </c>
      <c r="C130" s="2" t="str">
        <f>"715-0006"</f>
        <v>715-0006</v>
      </c>
      <c r="D130" s="2" t="str">
        <f>"井原市西江原町６６６－５"</f>
        <v>井原市西江原町６６６－５</v>
      </c>
      <c r="E130" s="1">
        <v>46387</v>
      </c>
    </row>
    <row r="131" spans="1:5" ht="30" customHeight="1" x14ac:dyDescent="0.4">
      <c r="A131" s="3">
        <v>128</v>
      </c>
      <c r="B131" s="2" t="s">
        <v>321</v>
      </c>
      <c r="C131" s="2" t="str">
        <f>"715-0014"</f>
        <v>715-0014</v>
      </c>
      <c r="D131" s="2" t="s">
        <v>322</v>
      </c>
      <c r="E131" s="1">
        <v>46387</v>
      </c>
    </row>
    <row r="132" spans="1:5" ht="30" customHeight="1" x14ac:dyDescent="0.4">
      <c r="A132" s="3">
        <v>129</v>
      </c>
      <c r="B132" s="2" t="s">
        <v>357</v>
      </c>
      <c r="C132" s="2" t="str">
        <f>"719-1131"</f>
        <v>719-1131</v>
      </c>
      <c r="D132" s="2" t="str">
        <f>"総社市中央２丁目2-111"</f>
        <v>総社市中央２丁目2-111</v>
      </c>
      <c r="E132" s="1">
        <v>47483</v>
      </c>
    </row>
    <row r="133" spans="1:5" ht="30" customHeight="1" x14ac:dyDescent="0.4">
      <c r="A133" s="3">
        <v>130</v>
      </c>
      <c r="B133" s="2" t="s">
        <v>353</v>
      </c>
      <c r="C133" s="2" t="str">
        <f>"719-1136"</f>
        <v>719-1136</v>
      </c>
      <c r="D133" s="2" t="str">
        <f>"総社市駅前１丁目２－１０８"</f>
        <v>総社市駅前１丁目２－１０８</v>
      </c>
      <c r="E133" s="1">
        <v>48213</v>
      </c>
    </row>
    <row r="134" spans="1:5" ht="30" customHeight="1" x14ac:dyDescent="0.4">
      <c r="A134" s="3">
        <v>131</v>
      </c>
      <c r="B134" s="2" t="s">
        <v>342</v>
      </c>
      <c r="C134" s="2" t="str">
        <f>"719-1126"</f>
        <v>719-1126</v>
      </c>
      <c r="D134" s="2" t="str">
        <f>"総社市総社２丁目２０－１４"</f>
        <v>総社市総社２丁目２０－１４</v>
      </c>
      <c r="E134" s="1">
        <v>46387</v>
      </c>
    </row>
    <row r="135" spans="1:5" ht="30" customHeight="1" x14ac:dyDescent="0.4">
      <c r="A135" s="3">
        <v>132</v>
      </c>
      <c r="B135" s="2" t="s">
        <v>346</v>
      </c>
      <c r="C135" s="2" t="str">
        <f>"719-1155"</f>
        <v>719-1155</v>
      </c>
      <c r="D135" s="2" t="s">
        <v>347</v>
      </c>
      <c r="E135" s="1">
        <v>46387</v>
      </c>
    </row>
    <row r="136" spans="1:5" ht="30" customHeight="1" x14ac:dyDescent="0.4">
      <c r="A136" s="3">
        <v>133</v>
      </c>
      <c r="B136" s="2" t="s">
        <v>343</v>
      </c>
      <c r="C136" s="2" t="str">
        <f>"719-1144"</f>
        <v>719-1144</v>
      </c>
      <c r="D136" s="2" t="str">
        <f>"総社市富原３４５－２"</f>
        <v>総社市富原３４５－２</v>
      </c>
      <c r="E136" s="1">
        <v>46387</v>
      </c>
    </row>
    <row r="137" spans="1:5" ht="30" customHeight="1" x14ac:dyDescent="0.4">
      <c r="A137" s="3">
        <v>134</v>
      </c>
      <c r="B137" s="2" t="s">
        <v>359</v>
      </c>
      <c r="C137" s="2" t="str">
        <f>"719-1162"</f>
        <v>719-1162</v>
      </c>
      <c r="D137" s="2" t="str">
        <f>"総社市岡谷１２１－１４"</f>
        <v>総社市岡谷１２１－１４</v>
      </c>
      <c r="E137" s="1">
        <v>47483</v>
      </c>
    </row>
    <row r="138" spans="1:5" ht="30" customHeight="1" x14ac:dyDescent="0.4">
      <c r="A138" s="3">
        <v>135</v>
      </c>
      <c r="B138" s="2" t="s">
        <v>349</v>
      </c>
      <c r="C138" s="2" t="str">
        <f>"719-1125"</f>
        <v>719-1125</v>
      </c>
      <c r="D138" s="2" t="str">
        <f>"総社市井手５８８－１"</f>
        <v>総社市井手５８８－１</v>
      </c>
      <c r="E138" s="1">
        <v>46752</v>
      </c>
    </row>
    <row r="139" spans="1:5" ht="30" customHeight="1" x14ac:dyDescent="0.4">
      <c r="A139" s="3">
        <v>136</v>
      </c>
      <c r="B139" s="2" t="s">
        <v>351</v>
      </c>
      <c r="C139" s="2" t="str">
        <f>"719-1124"</f>
        <v>719-1124</v>
      </c>
      <c r="D139" s="2" t="str">
        <f>"総社市三須１３４４－３"</f>
        <v>総社市三須１３４４－３</v>
      </c>
      <c r="E139" s="1">
        <v>46387</v>
      </c>
    </row>
    <row r="140" spans="1:5" ht="30" customHeight="1" x14ac:dyDescent="0.4">
      <c r="A140" s="3">
        <v>137</v>
      </c>
      <c r="B140" s="2" t="s">
        <v>337</v>
      </c>
      <c r="C140" s="2" t="str">
        <f>"719-1126"</f>
        <v>719-1126</v>
      </c>
      <c r="D140" s="2" t="s">
        <v>338</v>
      </c>
      <c r="E140" s="1">
        <v>46387</v>
      </c>
    </row>
    <row r="141" spans="1:5" ht="30" customHeight="1" x14ac:dyDescent="0.4">
      <c r="A141" s="3">
        <v>138</v>
      </c>
      <c r="B141" s="2" t="s">
        <v>345</v>
      </c>
      <c r="C141" s="2" t="str">
        <f>"719-1134"</f>
        <v>719-1134</v>
      </c>
      <c r="D141" s="2" t="str">
        <f>"総社市真壁１２３１－６"</f>
        <v>総社市真壁１２３１－６</v>
      </c>
      <c r="E141" s="1">
        <v>46387</v>
      </c>
    </row>
    <row r="142" spans="1:5" ht="30" customHeight="1" x14ac:dyDescent="0.4">
      <c r="A142" s="3">
        <v>139</v>
      </c>
      <c r="B142" s="2" t="s">
        <v>348</v>
      </c>
      <c r="C142" s="2" t="str">
        <f>"719-1125"</f>
        <v>719-1125</v>
      </c>
      <c r="D142" s="2" t="str">
        <f>"総社市井手1242-3"</f>
        <v>総社市井手1242-3</v>
      </c>
      <c r="E142" s="1">
        <v>46387</v>
      </c>
    </row>
    <row r="143" spans="1:5" ht="30" customHeight="1" x14ac:dyDescent="0.4">
      <c r="A143" s="3">
        <v>140</v>
      </c>
      <c r="B143" s="2" t="s">
        <v>355</v>
      </c>
      <c r="C143" s="2" t="str">
        <f>"719-1137"</f>
        <v>719-1137</v>
      </c>
      <c r="D143" s="2" t="s">
        <v>356</v>
      </c>
      <c r="E143" s="1">
        <v>46752</v>
      </c>
    </row>
    <row r="144" spans="1:5" ht="30" customHeight="1" x14ac:dyDescent="0.4">
      <c r="A144" s="3">
        <v>141</v>
      </c>
      <c r="B144" s="2" t="s">
        <v>352</v>
      </c>
      <c r="C144" s="2" t="str">
        <f>"719-1162"</f>
        <v>719-1162</v>
      </c>
      <c r="D144" s="2" t="str">
        <f>"総社市岡谷３３９－１"</f>
        <v>総社市岡谷３３９－１</v>
      </c>
      <c r="E144" s="1">
        <v>47848</v>
      </c>
    </row>
    <row r="145" spans="1:5" ht="30" customHeight="1" x14ac:dyDescent="0.4">
      <c r="A145" s="3">
        <v>142</v>
      </c>
      <c r="B145" s="2" t="s">
        <v>335</v>
      </c>
      <c r="C145" s="2" t="str">
        <f>"719-1125"</f>
        <v>719-1125</v>
      </c>
      <c r="D145" s="2" t="s">
        <v>336</v>
      </c>
      <c r="E145" s="1">
        <v>46387</v>
      </c>
    </row>
    <row r="146" spans="1:5" ht="30" customHeight="1" x14ac:dyDescent="0.4">
      <c r="A146" s="3">
        <v>143</v>
      </c>
      <c r="B146" s="2" t="s">
        <v>344</v>
      </c>
      <c r="C146" s="2" t="str">
        <f>"719-1131"</f>
        <v>719-1131</v>
      </c>
      <c r="D146" s="2" t="str">
        <f>"総社市中央３丁目１１－１０１"</f>
        <v>総社市中央３丁目１１－１０１</v>
      </c>
      <c r="E146" s="1">
        <v>46387</v>
      </c>
    </row>
    <row r="147" spans="1:5" ht="30" customHeight="1" x14ac:dyDescent="0.4">
      <c r="A147" s="3">
        <v>144</v>
      </c>
      <c r="B147" s="2" t="s">
        <v>333</v>
      </c>
      <c r="C147" s="2" t="str">
        <f>"719-1125"</f>
        <v>719-1125</v>
      </c>
      <c r="D147" s="2" t="str">
        <f>"総社市井手９３３－１"</f>
        <v>総社市井手９３３－１</v>
      </c>
      <c r="E147" s="1">
        <v>46387</v>
      </c>
    </row>
    <row r="148" spans="1:5" ht="30" customHeight="1" x14ac:dyDescent="0.4">
      <c r="A148" s="3">
        <v>145</v>
      </c>
      <c r="B148" s="2" t="s">
        <v>329</v>
      </c>
      <c r="C148" s="2" t="str">
        <f>"719-1136"</f>
        <v>719-1136</v>
      </c>
      <c r="D148" s="2" t="str">
        <f>"総社市駅前２丁目１７－７"</f>
        <v>総社市駅前２丁目１７－７</v>
      </c>
      <c r="E148" s="1">
        <v>46387</v>
      </c>
    </row>
    <row r="149" spans="1:5" ht="30" customHeight="1" x14ac:dyDescent="0.4">
      <c r="A149" s="3">
        <v>146</v>
      </c>
      <c r="B149" s="2" t="s">
        <v>341</v>
      </c>
      <c r="C149" s="2" t="str">
        <f>"719-1134"</f>
        <v>719-1134</v>
      </c>
      <c r="D149" s="2" t="str">
        <f>"総社市真壁１５８－６"</f>
        <v>総社市真壁１５８－６</v>
      </c>
      <c r="E149" s="1">
        <v>46387</v>
      </c>
    </row>
    <row r="150" spans="1:5" ht="30" customHeight="1" x14ac:dyDescent="0.4">
      <c r="A150" s="3">
        <v>147</v>
      </c>
      <c r="B150" s="2" t="s">
        <v>332</v>
      </c>
      <c r="C150" s="2" t="str">
        <f>"719-1136"</f>
        <v>719-1136</v>
      </c>
      <c r="D150" s="2" t="str">
        <f>"総社市駅前１－４－２"</f>
        <v>総社市駅前１－４－２</v>
      </c>
      <c r="E150" s="1">
        <v>46387</v>
      </c>
    </row>
    <row r="151" spans="1:5" ht="30" customHeight="1" x14ac:dyDescent="0.4">
      <c r="A151" s="3">
        <v>148</v>
      </c>
      <c r="B151" s="2" t="s">
        <v>358</v>
      </c>
      <c r="C151" s="2" t="str">
        <f>"719-1136"</f>
        <v>719-1136</v>
      </c>
      <c r="D151" s="2" t="str">
        <f>"総社市駅前１－８－７２"</f>
        <v>総社市駅前１－８－７２</v>
      </c>
      <c r="E151" s="1">
        <v>47483</v>
      </c>
    </row>
    <row r="152" spans="1:5" ht="30" customHeight="1" x14ac:dyDescent="0.4">
      <c r="A152" s="3">
        <v>149</v>
      </c>
      <c r="B152" s="2" t="s">
        <v>340</v>
      </c>
      <c r="C152" s="2" t="str">
        <f>"719-1131"</f>
        <v>719-1131</v>
      </c>
      <c r="D152" s="2" t="str">
        <f>"総社市中央２丁目６－３６"</f>
        <v>総社市中央２丁目６－３６</v>
      </c>
      <c r="E152" s="1">
        <v>46387</v>
      </c>
    </row>
    <row r="153" spans="1:5" ht="30" customHeight="1" x14ac:dyDescent="0.4">
      <c r="A153" s="3">
        <v>150</v>
      </c>
      <c r="B153" s="2" t="s">
        <v>339</v>
      </c>
      <c r="C153" s="2" t="str">
        <f>"719-1131"</f>
        <v>719-1131</v>
      </c>
      <c r="D153" s="2" t="str">
        <f>"総社市中央１丁目２２－１０１"</f>
        <v>総社市中央１丁目２２－１０１</v>
      </c>
      <c r="E153" s="1">
        <v>46387</v>
      </c>
    </row>
    <row r="154" spans="1:5" ht="30" customHeight="1" x14ac:dyDescent="0.4">
      <c r="A154" s="3">
        <v>151</v>
      </c>
      <c r="B154" s="2" t="s">
        <v>354</v>
      </c>
      <c r="C154" s="2" t="str">
        <f>"719-1126"</f>
        <v>719-1126</v>
      </c>
      <c r="D154" s="2" t="str">
        <f>"総社市総社二丁目１４－４"</f>
        <v>総社市総社二丁目１４－４</v>
      </c>
      <c r="E154" s="1">
        <v>46387</v>
      </c>
    </row>
    <row r="155" spans="1:5" ht="30" customHeight="1" x14ac:dyDescent="0.4">
      <c r="A155" s="3">
        <v>152</v>
      </c>
      <c r="B155" s="2" t="s">
        <v>334</v>
      </c>
      <c r="C155" s="2" t="str">
        <f>"719-1137"</f>
        <v>719-1137</v>
      </c>
      <c r="D155" s="2" t="str">
        <f>"総社市駅南２丁目４１－１２"</f>
        <v>総社市駅南２丁目４１－１２</v>
      </c>
      <c r="E155" s="1">
        <v>46387</v>
      </c>
    </row>
    <row r="156" spans="1:5" ht="30" customHeight="1" x14ac:dyDescent="0.4">
      <c r="A156" s="3">
        <v>153</v>
      </c>
      <c r="B156" s="2" t="s">
        <v>330</v>
      </c>
      <c r="C156" s="2" t="str">
        <f>"719-1156"</f>
        <v>719-1156</v>
      </c>
      <c r="D156" s="2" t="s">
        <v>331</v>
      </c>
      <c r="E156" s="1">
        <v>46387</v>
      </c>
    </row>
    <row r="157" spans="1:5" ht="30" customHeight="1" x14ac:dyDescent="0.4">
      <c r="A157" s="3">
        <v>154</v>
      </c>
      <c r="B157" s="2" t="s">
        <v>350</v>
      </c>
      <c r="C157" s="2" t="str">
        <f>"719-1131"</f>
        <v>719-1131</v>
      </c>
      <c r="D157" s="2" t="str">
        <f>"総社市中央６－１５－１１９"</f>
        <v>総社市中央６－１５－１１９</v>
      </c>
      <c r="E157" s="1">
        <v>47483</v>
      </c>
    </row>
    <row r="158" spans="1:5" ht="30" customHeight="1" x14ac:dyDescent="0.4">
      <c r="A158" s="3">
        <v>155</v>
      </c>
      <c r="B158" s="2" t="s">
        <v>362</v>
      </c>
      <c r="C158" s="2" t="str">
        <f>"716-0033"</f>
        <v>716-0033</v>
      </c>
      <c r="D158" s="2" t="str">
        <f>"高梁市南町７９－１"</f>
        <v>高梁市南町７９－１</v>
      </c>
      <c r="E158" s="1">
        <v>46387</v>
      </c>
    </row>
    <row r="159" spans="1:5" ht="30" customHeight="1" x14ac:dyDescent="0.4">
      <c r="A159" s="3">
        <v>156</v>
      </c>
      <c r="B159" s="2" t="s">
        <v>364</v>
      </c>
      <c r="C159" s="2" t="str">
        <f>"716-0111"</f>
        <v>716-0111</v>
      </c>
      <c r="D159" s="2" t="s">
        <v>365</v>
      </c>
      <c r="E159" s="1">
        <v>46387</v>
      </c>
    </row>
    <row r="160" spans="1:5" ht="30" customHeight="1" x14ac:dyDescent="0.4">
      <c r="A160" s="3">
        <v>157</v>
      </c>
      <c r="B160" s="2" t="s">
        <v>361</v>
      </c>
      <c r="C160" s="2" t="str">
        <f>"716-0061"</f>
        <v>716-0061</v>
      </c>
      <c r="D160" s="2" t="str">
        <f>"高梁市落合町阿部５９９－１９"</f>
        <v>高梁市落合町阿部５９９－１９</v>
      </c>
      <c r="E160" s="1">
        <v>46387</v>
      </c>
    </row>
    <row r="161" spans="1:5" ht="30" customHeight="1" x14ac:dyDescent="0.4">
      <c r="A161" s="3">
        <v>158</v>
      </c>
      <c r="B161" s="2" t="s">
        <v>360</v>
      </c>
      <c r="C161" s="2" t="str">
        <f>"716-0061"</f>
        <v>716-0061</v>
      </c>
      <c r="D161" s="2" t="str">
        <f>"高梁市落合町阿部１６７６－５"</f>
        <v>高梁市落合町阿部１６７６－５</v>
      </c>
      <c r="E161" s="1">
        <v>46387</v>
      </c>
    </row>
    <row r="162" spans="1:5" ht="30" customHeight="1" x14ac:dyDescent="0.4">
      <c r="A162" s="3">
        <v>159</v>
      </c>
      <c r="B162" s="2" t="s">
        <v>367</v>
      </c>
      <c r="C162" s="2" t="str">
        <f>"716-0061"</f>
        <v>716-0061</v>
      </c>
      <c r="D162" s="2" t="str">
        <f>"高梁市落合町阿部２１４３－５"</f>
        <v>高梁市落合町阿部２１４３－５</v>
      </c>
      <c r="E162" s="1">
        <v>46387</v>
      </c>
    </row>
    <row r="163" spans="1:5" ht="30" customHeight="1" x14ac:dyDescent="0.4">
      <c r="A163" s="3">
        <v>160</v>
      </c>
      <c r="B163" s="2" t="s">
        <v>369</v>
      </c>
      <c r="C163" s="2" t="str">
        <f>"716-0033"</f>
        <v>716-0033</v>
      </c>
      <c r="D163" s="2" t="s">
        <v>370</v>
      </c>
      <c r="E163" s="1">
        <v>47483</v>
      </c>
    </row>
    <row r="164" spans="1:5" ht="30" customHeight="1" x14ac:dyDescent="0.4">
      <c r="A164" s="3">
        <v>161</v>
      </c>
      <c r="B164" s="2" t="s">
        <v>368</v>
      </c>
      <c r="C164" s="2" t="str">
        <f>"716-0045"</f>
        <v>716-0045</v>
      </c>
      <c r="D164" s="2" t="str">
        <f>"高梁市中原町1084-1ポルカ天満屋ハピータウン1階"</f>
        <v>高梁市中原町1084-1ポルカ天満屋ハピータウン1階</v>
      </c>
      <c r="E164" s="1">
        <v>46752</v>
      </c>
    </row>
    <row r="165" spans="1:5" ht="30" customHeight="1" x14ac:dyDescent="0.4">
      <c r="A165" s="3">
        <v>162</v>
      </c>
      <c r="B165" s="2" t="s">
        <v>363</v>
      </c>
      <c r="C165" s="2" t="str">
        <f>"716-0111"</f>
        <v>716-0111</v>
      </c>
      <c r="D165" s="2" t="str">
        <f>"高梁市成羽町下原３２６－１"</f>
        <v>高梁市成羽町下原３２６－１</v>
      </c>
      <c r="E165" s="1">
        <v>46387</v>
      </c>
    </row>
    <row r="166" spans="1:5" ht="30" customHeight="1" x14ac:dyDescent="0.4">
      <c r="A166" s="3">
        <v>163</v>
      </c>
      <c r="B166" s="2" t="s">
        <v>189</v>
      </c>
      <c r="C166" s="2" t="str">
        <f>"716-0034"</f>
        <v>716-0034</v>
      </c>
      <c r="D166" s="2" t="str">
        <f>"高梁市東町１８９８－４"</f>
        <v>高梁市東町１８９８－４</v>
      </c>
      <c r="E166" s="1">
        <v>46387</v>
      </c>
    </row>
    <row r="167" spans="1:5" ht="30" customHeight="1" x14ac:dyDescent="0.4">
      <c r="A167" s="3">
        <v>164</v>
      </c>
      <c r="B167" s="2" t="s">
        <v>371</v>
      </c>
      <c r="C167" s="2" t="str">
        <f>"716-0033"</f>
        <v>716-0033</v>
      </c>
      <c r="D167" s="2" t="s">
        <v>372</v>
      </c>
      <c r="E167" s="1">
        <v>48213</v>
      </c>
    </row>
    <row r="168" spans="1:5" ht="30" customHeight="1" x14ac:dyDescent="0.4">
      <c r="A168" s="3">
        <v>165</v>
      </c>
      <c r="B168" s="2" t="s">
        <v>366</v>
      </c>
      <c r="C168" s="2" t="str">
        <f>"716-0028"</f>
        <v>716-0028</v>
      </c>
      <c r="D168" s="2" t="str">
        <f>"高梁市柿木町２０－１"</f>
        <v>高梁市柿木町２０－１</v>
      </c>
      <c r="E168" s="1">
        <v>46387</v>
      </c>
    </row>
    <row r="169" spans="1:5" ht="30" customHeight="1" x14ac:dyDescent="0.4">
      <c r="A169" s="3">
        <v>166</v>
      </c>
      <c r="B169" s="2" t="s">
        <v>374</v>
      </c>
      <c r="C169" s="2" t="str">
        <f>"718-0003"</f>
        <v>718-0003</v>
      </c>
      <c r="D169" s="2" t="str">
        <f>"新見市高尾７９２－７"</f>
        <v>新見市高尾７９２－７</v>
      </c>
      <c r="E169" s="1">
        <v>46387</v>
      </c>
    </row>
    <row r="170" spans="1:5" ht="30" customHeight="1" x14ac:dyDescent="0.4">
      <c r="A170" s="3">
        <v>167</v>
      </c>
      <c r="B170" s="2" t="s">
        <v>375</v>
      </c>
      <c r="C170" s="2" t="str">
        <f>"718-0017"</f>
        <v>718-0017</v>
      </c>
      <c r="D170" s="2" t="str">
        <f>"新見市西方４３６－３"</f>
        <v>新見市西方４３６－３</v>
      </c>
      <c r="E170" s="1">
        <v>46387</v>
      </c>
    </row>
    <row r="171" spans="1:5" ht="30" customHeight="1" x14ac:dyDescent="0.4">
      <c r="A171" s="3">
        <v>168</v>
      </c>
      <c r="B171" s="2" t="s">
        <v>373</v>
      </c>
      <c r="C171" s="2" t="str">
        <f>"718-0003"</f>
        <v>718-0003</v>
      </c>
      <c r="D171" s="2" t="str">
        <f>"新見市高尾２４８８－１１"</f>
        <v>新見市高尾２４８８－１１</v>
      </c>
      <c r="E171" s="1">
        <v>46387</v>
      </c>
    </row>
    <row r="172" spans="1:5" ht="30" customHeight="1" x14ac:dyDescent="0.4">
      <c r="A172" s="3">
        <v>169</v>
      </c>
      <c r="B172" s="2" t="s">
        <v>381</v>
      </c>
      <c r="C172" s="2" t="str">
        <f>"718-0003"</f>
        <v>718-0003</v>
      </c>
      <c r="D172" s="2" t="str">
        <f>"新見市高尾７８９－１"</f>
        <v>新見市高尾７８９－１</v>
      </c>
      <c r="E172" s="1">
        <v>48213</v>
      </c>
    </row>
    <row r="173" spans="1:5" ht="30" customHeight="1" x14ac:dyDescent="0.4">
      <c r="A173" s="3">
        <v>170</v>
      </c>
      <c r="B173" s="2" t="s">
        <v>478</v>
      </c>
      <c r="C173" s="2" t="str">
        <f>"719-3503"</f>
        <v>719-3503</v>
      </c>
      <c r="D173" s="2" t="str">
        <f>"新見市大佐小阪部小守田１４６４－３"</f>
        <v>新見市大佐小阪部小守田１４６４－３</v>
      </c>
      <c r="E173" s="1">
        <v>46387</v>
      </c>
    </row>
    <row r="174" spans="1:5" ht="30" customHeight="1" x14ac:dyDescent="0.4">
      <c r="A174" s="3">
        <v>171</v>
      </c>
      <c r="B174" s="2" t="s">
        <v>382</v>
      </c>
      <c r="C174" s="2" t="str">
        <f>"718-0013"</f>
        <v>718-0013</v>
      </c>
      <c r="D174" s="2" t="s">
        <v>383</v>
      </c>
      <c r="E174" s="1">
        <v>47483</v>
      </c>
    </row>
    <row r="175" spans="1:5" ht="30" customHeight="1" x14ac:dyDescent="0.4">
      <c r="A175" s="3">
        <v>172</v>
      </c>
      <c r="B175" s="2" t="s">
        <v>376</v>
      </c>
      <c r="C175" s="2" t="str">
        <f>"718-0011"</f>
        <v>718-0011</v>
      </c>
      <c r="D175" s="2" t="s">
        <v>377</v>
      </c>
      <c r="E175" s="1">
        <v>46387</v>
      </c>
    </row>
    <row r="176" spans="1:5" ht="30" customHeight="1" x14ac:dyDescent="0.4">
      <c r="A176" s="3">
        <v>173</v>
      </c>
      <c r="B176" s="2" t="s">
        <v>380</v>
      </c>
      <c r="C176" s="2" t="str">
        <f>"718-0003"</f>
        <v>718-0003</v>
      </c>
      <c r="D176" s="2" t="str">
        <f>"新見市高尾２２９２－１"</f>
        <v>新見市高尾２２９２－１</v>
      </c>
      <c r="E176" s="1">
        <v>46387</v>
      </c>
    </row>
    <row r="177" spans="1:5" ht="30" customHeight="1" x14ac:dyDescent="0.4">
      <c r="A177" s="3">
        <v>174</v>
      </c>
      <c r="B177" s="2" t="s">
        <v>378</v>
      </c>
      <c r="C177" s="2" t="str">
        <f>"718-0011"</f>
        <v>718-0011</v>
      </c>
      <c r="D177" s="2" t="str">
        <f>"新見市新見７４３－１"</f>
        <v>新見市新見７４３－１</v>
      </c>
      <c r="E177" s="1">
        <v>46387</v>
      </c>
    </row>
    <row r="178" spans="1:5" ht="30" customHeight="1" x14ac:dyDescent="0.4">
      <c r="A178" s="3">
        <v>175</v>
      </c>
      <c r="B178" s="2" t="s">
        <v>379</v>
      </c>
      <c r="C178" s="2" t="str">
        <f>"718-0015"</f>
        <v>718-0015</v>
      </c>
      <c r="D178" s="2" t="str">
        <f>"新見市石蟹６５－５"</f>
        <v>新見市石蟹６５－５</v>
      </c>
      <c r="E178" s="1">
        <v>46387</v>
      </c>
    </row>
    <row r="179" spans="1:5" ht="30" customHeight="1" x14ac:dyDescent="0.4">
      <c r="A179" s="3">
        <v>176</v>
      </c>
      <c r="B179" s="2" t="s">
        <v>384</v>
      </c>
      <c r="C179" s="2" t="str">
        <f>"705-0001"</f>
        <v>705-0001</v>
      </c>
      <c r="D179" s="2" t="str">
        <f>"備前市伊部４００－１３"</f>
        <v>備前市伊部４００－１３</v>
      </c>
      <c r="E179" s="1">
        <v>46387</v>
      </c>
    </row>
    <row r="180" spans="1:5" ht="30" customHeight="1" x14ac:dyDescent="0.4">
      <c r="A180" s="3">
        <v>177</v>
      </c>
      <c r="B180" s="2" t="s">
        <v>392</v>
      </c>
      <c r="C180" s="2" t="str">
        <f>"705-0021"</f>
        <v>705-0021</v>
      </c>
      <c r="D180" s="2" t="str">
        <f>"備前市西片上1120-7"</f>
        <v>備前市西片上1120-7</v>
      </c>
      <c r="E180" s="1">
        <v>46752</v>
      </c>
    </row>
    <row r="181" spans="1:5" ht="30" customHeight="1" x14ac:dyDescent="0.4">
      <c r="A181" s="3">
        <v>178</v>
      </c>
      <c r="B181" s="2" t="s">
        <v>390</v>
      </c>
      <c r="C181" s="2" t="str">
        <f>"705-0001"</f>
        <v>705-0001</v>
      </c>
      <c r="D181" s="2" t="s">
        <v>391</v>
      </c>
      <c r="E181" s="1">
        <v>48213</v>
      </c>
    </row>
    <row r="182" spans="1:5" ht="30" customHeight="1" x14ac:dyDescent="0.4">
      <c r="A182" s="3">
        <v>179</v>
      </c>
      <c r="B182" s="2" t="s">
        <v>388</v>
      </c>
      <c r="C182" s="2" t="str">
        <f>"705-0001"</f>
        <v>705-0001</v>
      </c>
      <c r="D182" s="2" t="str">
        <f>"備前市伊部９０－５"</f>
        <v>備前市伊部９０－５</v>
      </c>
      <c r="E182" s="1">
        <v>46387</v>
      </c>
    </row>
    <row r="183" spans="1:5" ht="30" customHeight="1" x14ac:dyDescent="0.4">
      <c r="A183" s="3">
        <v>180</v>
      </c>
      <c r="B183" s="2" t="s">
        <v>385</v>
      </c>
      <c r="C183" s="2" t="str">
        <f>"705-0021"</f>
        <v>705-0021</v>
      </c>
      <c r="D183" s="2" t="str">
        <f>"備前市西片上１３０８－１"</f>
        <v>備前市西片上１３０８－１</v>
      </c>
      <c r="E183" s="1">
        <v>46387</v>
      </c>
    </row>
    <row r="184" spans="1:5" ht="30" customHeight="1" x14ac:dyDescent="0.4">
      <c r="A184" s="3">
        <v>181</v>
      </c>
      <c r="B184" s="2" t="s">
        <v>386</v>
      </c>
      <c r="C184" s="2" t="str">
        <f>"705-0001"</f>
        <v>705-0001</v>
      </c>
      <c r="D184" s="2" t="str">
        <f>"備前市伊部２１５５－２"</f>
        <v>備前市伊部２１５５－２</v>
      </c>
      <c r="E184" s="1">
        <v>46387</v>
      </c>
    </row>
    <row r="185" spans="1:5" ht="30" customHeight="1" x14ac:dyDescent="0.4">
      <c r="A185" s="3">
        <v>182</v>
      </c>
      <c r="B185" s="2" t="s">
        <v>389</v>
      </c>
      <c r="C185" s="2" t="str">
        <f>"705-0033"</f>
        <v>705-0033</v>
      </c>
      <c r="D185" s="2" t="str">
        <f>"備前市穂浪２８３５－９"</f>
        <v>備前市穂浪２８３５－９</v>
      </c>
      <c r="E185" s="1">
        <v>47483</v>
      </c>
    </row>
    <row r="186" spans="1:5" ht="30" customHeight="1" x14ac:dyDescent="0.4">
      <c r="A186" s="3">
        <v>183</v>
      </c>
      <c r="B186" s="2" t="s">
        <v>387</v>
      </c>
      <c r="C186" s="2" t="str">
        <f>"705-0132"</f>
        <v>705-0132</v>
      </c>
      <c r="D186" s="2" t="str">
        <f>"備前市三石１６６－３"</f>
        <v>備前市三石１６６－３</v>
      </c>
      <c r="E186" s="1">
        <v>46387</v>
      </c>
    </row>
    <row r="187" spans="1:5" ht="30" customHeight="1" x14ac:dyDescent="0.4">
      <c r="A187" s="3">
        <v>184</v>
      </c>
      <c r="B187" s="2" t="s">
        <v>394</v>
      </c>
      <c r="C187" s="2" t="str">
        <f>"701-4265"</f>
        <v>701-4265</v>
      </c>
      <c r="D187" s="2" t="str">
        <f>"瀬戸内市長船町福岡１０３－１３"</f>
        <v>瀬戸内市長船町福岡１０３－１３</v>
      </c>
      <c r="E187" s="1">
        <v>46387</v>
      </c>
    </row>
    <row r="188" spans="1:5" ht="30" customHeight="1" x14ac:dyDescent="0.4">
      <c r="A188" s="3">
        <v>185</v>
      </c>
      <c r="B188" s="2" t="s">
        <v>402</v>
      </c>
      <c r="C188" s="2" t="str">
        <f>"701-4232"</f>
        <v>701-4232</v>
      </c>
      <c r="D188" s="2" t="str">
        <f>"瀬戸内市邑久町北島４９４－１"</f>
        <v>瀬戸内市邑久町北島４９４－１</v>
      </c>
      <c r="E188" s="1">
        <v>46752</v>
      </c>
    </row>
    <row r="189" spans="1:5" ht="30" customHeight="1" x14ac:dyDescent="0.4">
      <c r="A189" s="3">
        <v>186</v>
      </c>
      <c r="B189" s="2" t="s">
        <v>401</v>
      </c>
      <c r="C189" s="2" t="str">
        <f>"701-4276"</f>
        <v>701-4276</v>
      </c>
      <c r="D189" s="2" t="str">
        <f>"瀬戸内市長船町服部５２２－１"</f>
        <v>瀬戸内市長船町服部５２２－１</v>
      </c>
      <c r="E189" s="1">
        <v>46752</v>
      </c>
    </row>
    <row r="190" spans="1:5" ht="30" customHeight="1" x14ac:dyDescent="0.4">
      <c r="A190" s="3">
        <v>187</v>
      </c>
      <c r="B190" s="2" t="s">
        <v>397</v>
      </c>
      <c r="C190" s="2" t="str">
        <f>"701-4246"</f>
        <v>701-4246</v>
      </c>
      <c r="D190" s="2" t="str">
        <f>"瀬戸内市邑久町山田庄２１２－１１"</f>
        <v>瀬戸内市邑久町山田庄２１２－１１</v>
      </c>
      <c r="E190" s="1">
        <v>46387</v>
      </c>
    </row>
    <row r="191" spans="1:5" ht="30" customHeight="1" x14ac:dyDescent="0.4">
      <c r="A191" s="3">
        <v>188</v>
      </c>
      <c r="B191" s="2" t="s">
        <v>393</v>
      </c>
      <c r="C191" s="2" t="str">
        <f>"701-4264"</f>
        <v>701-4264</v>
      </c>
      <c r="D191" s="2" t="str">
        <f>"瀬戸内市長船町土師３３２－２"</f>
        <v>瀬戸内市長船町土師３３２－２</v>
      </c>
      <c r="E191" s="1">
        <v>46387</v>
      </c>
    </row>
    <row r="192" spans="1:5" ht="30" customHeight="1" x14ac:dyDescent="0.4">
      <c r="A192" s="3">
        <v>189</v>
      </c>
      <c r="B192" s="2" t="s">
        <v>458</v>
      </c>
      <c r="C192" s="2" t="str">
        <f>"701-4302"</f>
        <v>701-4302</v>
      </c>
      <c r="D192" s="2" t="str">
        <f>"瀬戸内市牛窓町牛窓４８０８－３"</f>
        <v>瀬戸内市牛窓町牛窓４８０８－３</v>
      </c>
      <c r="E192" s="1">
        <v>46387</v>
      </c>
    </row>
    <row r="193" spans="1:5" ht="30" customHeight="1" x14ac:dyDescent="0.4">
      <c r="A193" s="3">
        <v>190</v>
      </c>
      <c r="B193" s="2" t="s">
        <v>400</v>
      </c>
      <c r="C193" s="2" t="str">
        <f>"701-4246"</f>
        <v>701-4246</v>
      </c>
      <c r="D193" s="2" t="str">
        <f>"瀬戸内市邑久町山田庄８４５－１"</f>
        <v>瀬戸内市邑久町山田庄８４５－１</v>
      </c>
      <c r="E193" s="1">
        <v>47848</v>
      </c>
    </row>
    <row r="194" spans="1:5" ht="30" customHeight="1" x14ac:dyDescent="0.4">
      <c r="A194" s="3">
        <v>191</v>
      </c>
      <c r="B194" s="2" t="s">
        <v>395</v>
      </c>
      <c r="C194" s="2" t="str">
        <f>"701-4223"</f>
        <v>701-4223</v>
      </c>
      <c r="D194" s="2" t="str">
        <f>"瀬戸内市邑久町豊原８６－１"</f>
        <v>瀬戸内市邑久町豊原８６－１</v>
      </c>
      <c r="E194" s="1">
        <v>46387</v>
      </c>
    </row>
    <row r="195" spans="1:5" ht="30" customHeight="1" x14ac:dyDescent="0.4">
      <c r="A195" s="3">
        <v>192</v>
      </c>
      <c r="B195" s="2" t="s">
        <v>398</v>
      </c>
      <c r="C195" s="2" t="str">
        <f>"701-4223"</f>
        <v>701-4223</v>
      </c>
      <c r="D195" s="2" t="str">
        <f>"瀬戸内市邑久町豊原３３９－２"</f>
        <v>瀬戸内市邑久町豊原３３９－２</v>
      </c>
      <c r="E195" s="1">
        <v>47848</v>
      </c>
    </row>
    <row r="196" spans="1:5" ht="30" customHeight="1" x14ac:dyDescent="0.4">
      <c r="A196" s="3">
        <v>193</v>
      </c>
      <c r="B196" s="2" t="s">
        <v>399</v>
      </c>
      <c r="C196" s="2" t="str">
        <f>"701-4264"</f>
        <v>701-4264</v>
      </c>
      <c r="D196" s="2" t="str">
        <f>"瀬戸内市長船町土師１２１２－６"</f>
        <v>瀬戸内市長船町土師１２１２－６</v>
      </c>
      <c r="E196" s="1">
        <v>47848</v>
      </c>
    </row>
    <row r="197" spans="1:5" ht="30" customHeight="1" x14ac:dyDescent="0.4">
      <c r="A197" s="3">
        <v>194</v>
      </c>
      <c r="B197" s="2" t="s">
        <v>459</v>
      </c>
      <c r="C197" s="2" t="str">
        <f>"701-4264"</f>
        <v>701-4264</v>
      </c>
      <c r="D197" s="2" t="str">
        <f>"瀬戸内市長船町土師１１２－５"</f>
        <v>瀬戸内市長船町土師１１２－５</v>
      </c>
      <c r="E197" s="1">
        <v>46387</v>
      </c>
    </row>
    <row r="198" spans="1:5" ht="30" customHeight="1" x14ac:dyDescent="0.4">
      <c r="A198" s="3">
        <v>195</v>
      </c>
      <c r="B198" s="2" t="s">
        <v>396</v>
      </c>
      <c r="C198" s="2" t="str">
        <f>"701-4221"</f>
        <v>701-4221</v>
      </c>
      <c r="D198" s="2" t="str">
        <f>"瀬戸内市邑久町尾張１３４６－６"</f>
        <v>瀬戸内市邑久町尾張１３４６－６</v>
      </c>
      <c r="E198" s="1">
        <v>46387</v>
      </c>
    </row>
    <row r="199" spans="1:5" ht="30" customHeight="1" x14ac:dyDescent="0.4">
      <c r="A199" s="3">
        <v>196</v>
      </c>
      <c r="B199" s="2" t="s">
        <v>403</v>
      </c>
      <c r="C199" s="2" t="str">
        <f>"709-0812"</f>
        <v>709-0812</v>
      </c>
      <c r="D199" s="2" t="str">
        <f>"赤磐市沼田１２６０－１"</f>
        <v>赤磐市沼田１２６０－１</v>
      </c>
      <c r="E199" s="1">
        <v>46387</v>
      </c>
    </row>
    <row r="200" spans="1:5" ht="30" customHeight="1" x14ac:dyDescent="0.4">
      <c r="A200" s="3">
        <v>197</v>
      </c>
      <c r="B200" s="2" t="s">
        <v>415</v>
      </c>
      <c r="C200" s="2" t="str">
        <f>"709-0821"</f>
        <v>709-0821</v>
      </c>
      <c r="D200" s="2" t="str">
        <f>"赤磐市河本１１４１－１"</f>
        <v>赤磐市河本１１４１－１</v>
      </c>
      <c r="E200" s="1">
        <v>47848</v>
      </c>
    </row>
    <row r="201" spans="1:5" ht="30" customHeight="1" x14ac:dyDescent="0.4">
      <c r="A201" s="3">
        <v>198</v>
      </c>
      <c r="B201" s="2" t="s">
        <v>408</v>
      </c>
      <c r="C201" s="2" t="str">
        <f>"709-0827"</f>
        <v>709-0827</v>
      </c>
      <c r="D201" s="2" t="str">
        <f>"赤磐市山陽４－１３－１"</f>
        <v>赤磐市山陽４－１３－１</v>
      </c>
      <c r="E201" s="1">
        <v>46387</v>
      </c>
    </row>
    <row r="202" spans="1:5" ht="30" customHeight="1" x14ac:dyDescent="0.4">
      <c r="A202" s="3">
        <v>199</v>
      </c>
      <c r="B202" s="2" t="s">
        <v>405</v>
      </c>
      <c r="C202" s="2" t="str">
        <f>"709-0721"</f>
        <v>709-0721</v>
      </c>
      <c r="D202" s="2" t="str">
        <f>"赤磐市桜が丘東５丁目５－２７９"</f>
        <v>赤磐市桜が丘東５丁目５－２７９</v>
      </c>
      <c r="E202" s="1">
        <v>46387</v>
      </c>
    </row>
    <row r="203" spans="1:5" ht="30" customHeight="1" x14ac:dyDescent="0.4">
      <c r="A203" s="3">
        <v>200</v>
      </c>
      <c r="B203" s="2" t="s">
        <v>448</v>
      </c>
      <c r="C203" s="2" t="str">
        <f>"701-2222"</f>
        <v>701-2222</v>
      </c>
      <c r="D203" s="2" t="str">
        <f>"赤磐市町苅田９４４－３"</f>
        <v>赤磐市町苅田９４４－３</v>
      </c>
      <c r="E203" s="1">
        <v>46387</v>
      </c>
    </row>
    <row r="204" spans="1:5" ht="30" customHeight="1" x14ac:dyDescent="0.4">
      <c r="A204" s="3">
        <v>201</v>
      </c>
      <c r="B204" s="2" t="s">
        <v>409</v>
      </c>
      <c r="C204" s="2" t="str">
        <f>"709-0804"</f>
        <v>709-0804</v>
      </c>
      <c r="D204" s="2" t="str">
        <f>"赤磐市日古木７９９－１"</f>
        <v>赤磐市日古木７９９－１</v>
      </c>
      <c r="E204" s="1">
        <v>46387</v>
      </c>
    </row>
    <row r="205" spans="1:5" ht="30" customHeight="1" x14ac:dyDescent="0.4">
      <c r="A205" s="3">
        <v>202</v>
      </c>
      <c r="B205" s="2" t="s">
        <v>410</v>
      </c>
      <c r="C205" s="2" t="str">
        <f>"709-0816"</f>
        <v>709-0816</v>
      </c>
      <c r="D205" s="2" t="str">
        <f>"赤磐市下市３６４－３"</f>
        <v>赤磐市下市３６４－３</v>
      </c>
      <c r="E205" s="1">
        <v>46387</v>
      </c>
    </row>
    <row r="206" spans="1:5" ht="30" customHeight="1" x14ac:dyDescent="0.4">
      <c r="A206" s="3">
        <v>203</v>
      </c>
      <c r="B206" s="2" t="s">
        <v>404</v>
      </c>
      <c r="C206" s="2" t="str">
        <f>"701-2222"</f>
        <v>701-2222</v>
      </c>
      <c r="D206" s="2" t="str">
        <f>"赤磐市町苅田９４０－１"</f>
        <v>赤磐市町苅田９４０－１</v>
      </c>
      <c r="E206" s="1">
        <v>46387</v>
      </c>
    </row>
    <row r="207" spans="1:5" ht="30" customHeight="1" x14ac:dyDescent="0.4">
      <c r="A207" s="3">
        <v>204</v>
      </c>
      <c r="B207" s="2" t="s">
        <v>447</v>
      </c>
      <c r="C207" s="2" t="str">
        <f>"709-0822"</f>
        <v>709-0822</v>
      </c>
      <c r="D207" s="2" t="str">
        <f>"赤磐市岩田６３－１"</f>
        <v>赤磐市岩田６３－１</v>
      </c>
      <c r="E207" s="1">
        <v>46387</v>
      </c>
    </row>
    <row r="208" spans="1:5" ht="30" customHeight="1" x14ac:dyDescent="0.4">
      <c r="A208" s="3">
        <v>205</v>
      </c>
      <c r="B208" s="2" t="s">
        <v>446</v>
      </c>
      <c r="C208" s="2" t="str">
        <f>"709-0816"</f>
        <v>709-0816</v>
      </c>
      <c r="D208" s="2" t="str">
        <f>"赤磐市下市字南１８６－１"</f>
        <v>赤磐市下市字南１８６－１</v>
      </c>
      <c r="E208" s="1">
        <v>46387</v>
      </c>
    </row>
    <row r="209" spans="1:5" ht="30" customHeight="1" x14ac:dyDescent="0.4">
      <c r="A209" s="3">
        <v>206</v>
      </c>
      <c r="B209" s="2" t="s">
        <v>411</v>
      </c>
      <c r="C209" s="2" t="str">
        <f>"701-2503"</f>
        <v>701-2503</v>
      </c>
      <c r="D209" s="2" t="str">
        <f>"赤磐市周匝７２８－４"</f>
        <v>赤磐市周匝７２８－４</v>
      </c>
      <c r="E209" s="1">
        <v>48213</v>
      </c>
    </row>
    <row r="210" spans="1:5" ht="30" customHeight="1" x14ac:dyDescent="0.4">
      <c r="A210" s="3">
        <v>207</v>
      </c>
      <c r="B210" s="2" t="s">
        <v>412</v>
      </c>
      <c r="C210" s="2" t="str">
        <f>"701-2224"</f>
        <v>701-2224</v>
      </c>
      <c r="D210" s="2" t="str">
        <f>"赤磐市西窪田534-2"</f>
        <v>赤磐市西窪田534-2</v>
      </c>
      <c r="E210" s="1">
        <v>47118</v>
      </c>
    </row>
    <row r="211" spans="1:5" ht="30" customHeight="1" x14ac:dyDescent="0.4">
      <c r="A211" s="3">
        <v>208</v>
      </c>
      <c r="B211" s="2" t="s">
        <v>413</v>
      </c>
      <c r="C211" s="2" t="str">
        <f>"709-0824"</f>
        <v>709-0824</v>
      </c>
      <c r="D211" s="2" t="str">
        <f>"赤磐市穂崎８５２－１"</f>
        <v>赤磐市穂崎８５２－１</v>
      </c>
      <c r="E211" s="1">
        <v>47483</v>
      </c>
    </row>
    <row r="212" spans="1:5" ht="30" customHeight="1" x14ac:dyDescent="0.4">
      <c r="A212" s="3">
        <v>209</v>
      </c>
      <c r="B212" s="2" t="s">
        <v>414</v>
      </c>
      <c r="C212" s="2" t="str">
        <f>"709-0816"</f>
        <v>709-0816</v>
      </c>
      <c r="D212" s="2" t="str">
        <f>"赤磐市下市４４７－１"</f>
        <v>赤磐市下市４４７－１</v>
      </c>
      <c r="E212" s="1">
        <v>47848</v>
      </c>
    </row>
    <row r="213" spans="1:5" ht="30" customHeight="1" x14ac:dyDescent="0.4">
      <c r="A213" s="3">
        <v>210</v>
      </c>
      <c r="B213" s="2" t="s">
        <v>449</v>
      </c>
      <c r="C213" s="2" t="str">
        <f>"709-0802"</f>
        <v>709-0802</v>
      </c>
      <c r="D213" s="2" t="s">
        <v>450</v>
      </c>
      <c r="E213" s="1">
        <v>46387</v>
      </c>
    </row>
    <row r="214" spans="1:5" ht="30" customHeight="1" x14ac:dyDescent="0.4">
      <c r="A214" s="3">
        <v>211</v>
      </c>
      <c r="B214" s="2" t="s">
        <v>406</v>
      </c>
      <c r="C214" s="2" t="str">
        <f>"709-0835"</f>
        <v>709-0835</v>
      </c>
      <c r="D214" s="2" t="s">
        <v>407</v>
      </c>
      <c r="E214" s="1">
        <v>46387</v>
      </c>
    </row>
    <row r="215" spans="1:5" ht="30" customHeight="1" x14ac:dyDescent="0.4">
      <c r="A215" s="3">
        <v>212</v>
      </c>
      <c r="B215" s="2" t="s">
        <v>424</v>
      </c>
      <c r="C215" s="2" t="str">
        <f>"719-3155"</f>
        <v>719-3155</v>
      </c>
      <c r="D215" s="2" t="str">
        <f>"真庭市下方1225-5"</f>
        <v>真庭市下方1225-5</v>
      </c>
      <c r="E215" s="1">
        <v>46387</v>
      </c>
    </row>
    <row r="216" spans="1:5" ht="30" customHeight="1" x14ac:dyDescent="0.4">
      <c r="A216" s="3">
        <v>213</v>
      </c>
      <c r="B216" s="2" t="s">
        <v>482</v>
      </c>
      <c r="C216" s="2" t="str">
        <f>"719-3224"</f>
        <v>719-3224</v>
      </c>
      <c r="D216" s="2" t="s">
        <v>483</v>
      </c>
      <c r="E216" s="1">
        <v>46387</v>
      </c>
    </row>
    <row r="217" spans="1:5" ht="30" customHeight="1" x14ac:dyDescent="0.4">
      <c r="A217" s="3">
        <v>214</v>
      </c>
      <c r="B217" s="2" t="s">
        <v>485</v>
      </c>
      <c r="C217" s="2" t="str">
        <f>"717-0013"</f>
        <v>717-0013</v>
      </c>
      <c r="D217" s="2" t="str">
        <f>"真庭市勝山１０７３－６"</f>
        <v>真庭市勝山１０７３－６</v>
      </c>
      <c r="E217" s="1">
        <v>46387</v>
      </c>
    </row>
    <row r="218" spans="1:5" ht="30" customHeight="1" x14ac:dyDescent="0.4">
      <c r="A218" s="3">
        <v>215</v>
      </c>
      <c r="B218" s="2" t="s">
        <v>491</v>
      </c>
      <c r="C218" s="2" t="str">
        <f>"719-3201"</f>
        <v>719-3201</v>
      </c>
      <c r="D218" s="2" t="s">
        <v>492</v>
      </c>
      <c r="E218" s="1">
        <v>46387</v>
      </c>
    </row>
    <row r="219" spans="1:5" ht="30" customHeight="1" x14ac:dyDescent="0.4">
      <c r="A219" s="3">
        <v>216</v>
      </c>
      <c r="B219" s="2" t="s">
        <v>487</v>
      </c>
      <c r="C219" s="2" t="str">
        <f>"719-3122"</f>
        <v>719-3122</v>
      </c>
      <c r="D219" s="2" t="str">
        <f>"真庭市下河内３１３－８"</f>
        <v>真庭市下河内３１３－８</v>
      </c>
      <c r="E219" s="1">
        <v>46387</v>
      </c>
    </row>
    <row r="220" spans="1:5" ht="30" customHeight="1" x14ac:dyDescent="0.4">
      <c r="A220" s="3">
        <v>217</v>
      </c>
      <c r="B220" s="2" t="s">
        <v>264</v>
      </c>
      <c r="C220" s="2" t="str">
        <f>"716-1402"</f>
        <v>716-1402</v>
      </c>
      <c r="D220" s="2" t="s">
        <v>417</v>
      </c>
      <c r="E220" s="1">
        <v>46387</v>
      </c>
    </row>
    <row r="221" spans="1:5" ht="30" customHeight="1" x14ac:dyDescent="0.4">
      <c r="A221" s="3">
        <v>218</v>
      </c>
      <c r="B221" s="2" t="s">
        <v>486</v>
      </c>
      <c r="C221" s="2" t="str">
        <f>"717-0007"</f>
        <v>717-0007</v>
      </c>
      <c r="D221" s="2" t="str">
        <f>"真庭市本郷１８２３－３"</f>
        <v>真庭市本郷１８２３－３</v>
      </c>
      <c r="E221" s="1">
        <v>46387</v>
      </c>
    </row>
    <row r="222" spans="1:5" ht="30" customHeight="1" x14ac:dyDescent="0.4">
      <c r="A222" s="3">
        <v>219</v>
      </c>
      <c r="B222" s="2" t="s">
        <v>488</v>
      </c>
      <c r="C222" s="2" t="str">
        <f>"717-0022"</f>
        <v>717-0022</v>
      </c>
      <c r="D222" s="2" t="s">
        <v>489</v>
      </c>
      <c r="E222" s="1">
        <v>46387</v>
      </c>
    </row>
    <row r="223" spans="1:5" ht="30" customHeight="1" x14ac:dyDescent="0.4">
      <c r="A223" s="3">
        <v>220</v>
      </c>
      <c r="B223" s="2" t="s">
        <v>420</v>
      </c>
      <c r="C223" s="2" t="str">
        <f>"717-0013"</f>
        <v>717-0013</v>
      </c>
      <c r="D223" s="2" t="s">
        <v>421</v>
      </c>
      <c r="E223" s="1">
        <v>46387</v>
      </c>
    </row>
    <row r="224" spans="1:5" ht="30" customHeight="1" x14ac:dyDescent="0.4">
      <c r="A224" s="3">
        <v>221</v>
      </c>
      <c r="B224" s="2" t="s">
        <v>480</v>
      </c>
      <c r="C224" s="2" t="str">
        <f>"719-3202"</f>
        <v>719-3202</v>
      </c>
      <c r="D224" s="2" t="str">
        <f>"真庭市中島４０５－１"</f>
        <v>真庭市中島４０５－１</v>
      </c>
      <c r="E224" s="1">
        <v>46387</v>
      </c>
    </row>
    <row r="225" spans="1:5" ht="30" customHeight="1" x14ac:dyDescent="0.4">
      <c r="A225" s="3">
        <v>222</v>
      </c>
      <c r="B225" s="2" t="s">
        <v>484</v>
      </c>
      <c r="C225" s="2" t="str">
        <f>"719-3201"</f>
        <v>719-3201</v>
      </c>
      <c r="D225" s="2" t="str">
        <f>"真庭市久世２９２３－１"</f>
        <v>真庭市久世２９２３－１</v>
      </c>
      <c r="E225" s="1">
        <v>46387</v>
      </c>
    </row>
    <row r="226" spans="1:5" ht="30" customHeight="1" x14ac:dyDescent="0.4">
      <c r="A226" s="3">
        <v>223</v>
      </c>
      <c r="B226" s="2" t="s">
        <v>490</v>
      </c>
      <c r="C226" s="2" t="str">
        <f>"717-0013"</f>
        <v>717-0013</v>
      </c>
      <c r="D226" s="2" t="str">
        <f>"真庭市勝山８６－１"</f>
        <v>真庭市勝山８６－１</v>
      </c>
      <c r="E226" s="1">
        <v>46387</v>
      </c>
    </row>
    <row r="227" spans="1:5" ht="30" customHeight="1" x14ac:dyDescent="0.4">
      <c r="A227" s="3">
        <v>224</v>
      </c>
      <c r="B227" s="2" t="s">
        <v>416</v>
      </c>
      <c r="C227" s="2" t="str">
        <f>"719-3201"</f>
        <v>719-3201</v>
      </c>
      <c r="D227" s="2" t="str">
        <f>"真庭市久世２４３３－７"</f>
        <v>真庭市久世２４３３－７</v>
      </c>
      <c r="E227" s="1">
        <v>46387</v>
      </c>
    </row>
    <row r="228" spans="1:5" ht="30" customHeight="1" x14ac:dyDescent="0.4">
      <c r="A228" s="3">
        <v>225</v>
      </c>
      <c r="B228" s="2" t="s">
        <v>423</v>
      </c>
      <c r="C228" s="2" t="str">
        <f>"719-3115"</f>
        <v>719-3115</v>
      </c>
      <c r="D228" s="2" t="str">
        <f>"真庭市中４４８－１"</f>
        <v>真庭市中４４８－１</v>
      </c>
      <c r="E228" s="1">
        <v>47848</v>
      </c>
    </row>
    <row r="229" spans="1:5" ht="30" customHeight="1" x14ac:dyDescent="0.4">
      <c r="A229" s="3">
        <v>226</v>
      </c>
      <c r="B229" s="2" t="s">
        <v>493</v>
      </c>
      <c r="C229" s="2" t="str">
        <f>"719-3201"</f>
        <v>719-3201</v>
      </c>
      <c r="D229" s="2" t="str">
        <f>"真庭市久世2509-1"</f>
        <v>真庭市久世2509-1</v>
      </c>
      <c r="E229" s="1">
        <v>47483</v>
      </c>
    </row>
    <row r="230" spans="1:5" ht="30" customHeight="1" x14ac:dyDescent="0.4">
      <c r="A230" s="3">
        <v>227</v>
      </c>
      <c r="B230" s="2" t="s">
        <v>428</v>
      </c>
      <c r="C230" s="2" t="str">
        <f>"717-0403"</f>
        <v>717-0403</v>
      </c>
      <c r="D230" s="2" t="str">
        <f>"真庭市下湯原４２２－２"</f>
        <v>真庭市下湯原４２２－２</v>
      </c>
      <c r="E230" s="1">
        <v>47848</v>
      </c>
    </row>
    <row r="231" spans="1:5" ht="30" customHeight="1" x14ac:dyDescent="0.4">
      <c r="A231" s="3">
        <v>228</v>
      </c>
      <c r="B231" s="2" t="s">
        <v>425</v>
      </c>
      <c r="C231" s="2" t="str">
        <f>"716-1421"</f>
        <v>716-1421</v>
      </c>
      <c r="D231" s="2" t="str">
        <f>"真庭市下中津井773-11"</f>
        <v>真庭市下中津井773-11</v>
      </c>
      <c r="E231" s="1">
        <v>46752</v>
      </c>
    </row>
    <row r="232" spans="1:5" ht="30" customHeight="1" x14ac:dyDescent="0.4">
      <c r="A232" s="3">
        <v>229</v>
      </c>
      <c r="B232" s="2" t="s">
        <v>426</v>
      </c>
      <c r="C232" s="2" t="str">
        <f>"719-3141"</f>
        <v>719-3141</v>
      </c>
      <c r="D232" s="2" t="s">
        <v>427</v>
      </c>
      <c r="E232" s="1">
        <v>47118</v>
      </c>
    </row>
    <row r="233" spans="1:5" ht="30" customHeight="1" x14ac:dyDescent="0.4">
      <c r="A233" s="3">
        <v>230</v>
      </c>
      <c r="B233" s="2" t="s">
        <v>354</v>
      </c>
      <c r="C233" s="2" t="str">
        <f>"719-3155"</f>
        <v>719-3155</v>
      </c>
      <c r="D233" s="2" t="str">
        <f>"真庭市下方５８４－1"</f>
        <v>真庭市下方５８４－1</v>
      </c>
      <c r="E233" s="1">
        <v>47118</v>
      </c>
    </row>
    <row r="234" spans="1:5" ht="30" customHeight="1" x14ac:dyDescent="0.4">
      <c r="A234" s="3">
        <v>231</v>
      </c>
      <c r="B234" s="2" t="s">
        <v>481</v>
      </c>
      <c r="C234" s="2" t="str">
        <f>"719-3202"</f>
        <v>719-3202</v>
      </c>
      <c r="D234" s="2" t="str">
        <f>"真庭市中島４１１－５"</f>
        <v>真庭市中島４１１－５</v>
      </c>
      <c r="E234" s="1">
        <v>46387</v>
      </c>
    </row>
    <row r="235" spans="1:5" ht="30" customHeight="1" x14ac:dyDescent="0.4">
      <c r="A235" s="3">
        <v>232</v>
      </c>
      <c r="B235" s="2" t="s">
        <v>479</v>
      </c>
      <c r="C235" s="2" t="str">
        <f>"719-3105"</f>
        <v>719-3105</v>
      </c>
      <c r="D235" s="2" t="str">
        <f>"真庭市西原１６６－１"</f>
        <v>真庭市西原１６６－１</v>
      </c>
      <c r="E235" s="1">
        <v>46387</v>
      </c>
    </row>
    <row r="236" spans="1:5" ht="30" customHeight="1" x14ac:dyDescent="0.4">
      <c r="A236" s="3">
        <v>233</v>
      </c>
      <c r="B236" s="2" t="s">
        <v>418</v>
      </c>
      <c r="C236" s="2" t="str">
        <f>"719-3201"</f>
        <v>719-3201</v>
      </c>
      <c r="D236" s="2" t="s">
        <v>419</v>
      </c>
      <c r="E236" s="1">
        <v>46387</v>
      </c>
    </row>
    <row r="237" spans="1:5" ht="30" customHeight="1" x14ac:dyDescent="0.4">
      <c r="A237" s="3">
        <v>234</v>
      </c>
      <c r="B237" s="2" t="s">
        <v>422</v>
      </c>
      <c r="C237" s="2" t="str">
        <f>"717-0024"</f>
        <v>717-0024</v>
      </c>
      <c r="D237" s="2" t="str">
        <f>"真庭市月田６８２７－１"</f>
        <v>真庭市月田６８２７－１</v>
      </c>
      <c r="E237" s="1">
        <v>47118</v>
      </c>
    </row>
    <row r="238" spans="1:5" ht="30" customHeight="1" x14ac:dyDescent="0.4">
      <c r="A238" s="3">
        <v>235</v>
      </c>
      <c r="B238" s="2" t="s">
        <v>430</v>
      </c>
      <c r="C238" s="2" t="str">
        <f>"707-0412"</f>
        <v>707-0412</v>
      </c>
      <c r="D238" s="2" t="str">
        <f>"美作市古町１７７８－１"</f>
        <v>美作市古町１７７８－１</v>
      </c>
      <c r="E238" s="1">
        <v>46387</v>
      </c>
    </row>
    <row r="239" spans="1:5" ht="30" customHeight="1" x14ac:dyDescent="0.4">
      <c r="A239" s="3">
        <v>236</v>
      </c>
      <c r="B239" s="2" t="s">
        <v>433</v>
      </c>
      <c r="C239" s="2" t="str">
        <f>"707-0113"</f>
        <v>707-0113</v>
      </c>
      <c r="D239" s="2" t="str">
        <f>"美作市真加部５４－４"</f>
        <v>美作市真加部５４－４</v>
      </c>
      <c r="E239" s="1">
        <v>46387</v>
      </c>
    </row>
    <row r="240" spans="1:5" ht="30" customHeight="1" x14ac:dyDescent="0.4">
      <c r="A240" s="3">
        <v>237</v>
      </c>
      <c r="B240" s="2" t="s">
        <v>510</v>
      </c>
      <c r="C240" s="2" t="str">
        <f>"707-0003"</f>
        <v>707-0003</v>
      </c>
      <c r="D240" s="2" t="s">
        <v>511</v>
      </c>
      <c r="E240" s="1">
        <v>46387</v>
      </c>
    </row>
    <row r="241" spans="1:5" ht="30" customHeight="1" x14ac:dyDescent="0.4">
      <c r="A241" s="3">
        <v>238</v>
      </c>
      <c r="B241" s="2" t="s">
        <v>431</v>
      </c>
      <c r="C241" s="2" t="str">
        <f>"709-4234"</f>
        <v>709-4234</v>
      </c>
      <c r="D241" s="2" t="str">
        <f>"美作市江見４８２－１"</f>
        <v>美作市江見４８２－１</v>
      </c>
      <c r="E241" s="1">
        <v>46387</v>
      </c>
    </row>
    <row r="242" spans="1:5" ht="30" customHeight="1" x14ac:dyDescent="0.4">
      <c r="A242" s="3">
        <v>239</v>
      </c>
      <c r="B242" s="2" t="s">
        <v>437</v>
      </c>
      <c r="C242" s="2" t="str">
        <f>"707-0015"</f>
        <v>707-0015</v>
      </c>
      <c r="D242" s="2" t="str">
        <f>"美作市豊国原３０７－１"</f>
        <v>美作市豊国原３０７－１</v>
      </c>
      <c r="E242" s="1">
        <v>48213</v>
      </c>
    </row>
    <row r="243" spans="1:5" ht="30" customHeight="1" x14ac:dyDescent="0.4">
      <c r="A243" s="3">
        <v>240</v>
      </c>
      <c r="B243" s="2" t="s">
        <v>509</v>
      </c>
      <c r="C243" s="2" t="str">
        <f>"707-0062"</f>
        <v>707-0062</v>
      </c>
      <c r="D243" s="2" t="str">
        <f>"美作市湯郷７６６－１"</f>
        <v>美作市湯郷７６６－１</v>
      </c>
      <c r="E243" s="1">
        <v>46387</v>
      </c>
    </row>
    <row r="244" spans="1:5" ht="30" customHeight="1" x14ac:dyDescent="0.4">
      <c r="A244" s="3">
        <v>241</v>
      </c>
      <c r="B244" s="2" t="s">
        <v>435</v>
      </c>
      <c r="C244" s="2" t="str">
        <f>"707-0025"</f>
        <v>707-0025</v>
      </c>
      <c r="D244" s="2" t="str">
        <f>"美作市栄町40-1"</f>
        <v>美作市栄町40-1</v>
      </c>
      <c r="E244" s="1">
        <v>47118</v>
      </c>
    </row>
    <row r="245" spans="1:5" ht="30" customHeight="1" x14ac:dyDescent="0.4">
      <c r="A245" s="3">
        <v>242</v>
      </c>
      <c r="B245" s="2" t="s">
        <v>436</v>
      </c>
      <c r="C245" s="2" t="str">
        <f>"701-2604"</f>
        <v>701-2604</v>
      </c>
      <c r="D245" s="2" t="str">
        <f>"美作市福本572-1"</f>
        <v>美作市福本572-1</v>
      </c>
      <c r="E245" s="1">
        <v>47118</v>
      </c>
    </row>
    <row r="246" spans="1:5" ht="30" customHeight="1" x14ac:dyDescent="0.4">
      <c r="A246" s="3">
        <v>243</v>
      </c>
      <c r="B246" s="2" t="s">
        <v>432</v>
      </c>
      <c r="C246" s="2" t="str">
        <f>"707-0062"</f>
        <v>707-0062</v>
      </c>
      <c r="D246" s="2" t="str">
        <f>"美作市湯郷８１５－４"</f>
        <v>美作市湯郷８１５－４</v>
      </c>
      <c r="E246" s="1">
        <v>46387</v>
      </c>
    </row>
    <row r="247" spans="1:5" ht="30" customHeight="1" x14ac:dyDescent="0.4">
      <c r="A247" s="3">
        <v>244</v>
      </c>
      <c r="B247" s="2" t="s">
        <v>513</v>
      </c>
      <c r="C247" s="2" t="str">
        <f>"707-0003"</f>
        <v>707-0003</v>
      </c>
      <c r="D247" s="2" t="str">
        <f>"美作市明見３５７－１４"</f>
        <v>美作市明見３５７－１４</v>
      </c>
      <c r="E247" s="1">
        <v>46387</v>
      </c>
    </row>
    <row r="248" spans="1:5" ht="30" customHeight="1" x14ac:dyDescent="0.4">
      <c r="A248" s="3">
        <v>245</v>
      </c>
      <c r="B248" s="2" t="s">
        <v>429</v>
      </c>
      <c r="C248" s="2" t="str">
        <f>"707-0412"</f>
        <v>707-0412</v>
      </c>
      <c r="D248" s="2" t="str">
        <f>"美作市古町１６６３－２"</f>
        <v>美作市古町１６６３－２</v>
      </c>
      <c r="E248" s="1">
        <v>46387</v>
      </c>
    </row>
    <row r="249" spans="1:5" ht="30" customHeight="1" x14ac:dyDescent="0.4">
      <c r="A249" s="3">
        <v>246</v>
      </c>
      <c r="B249" s="2" t="s">
        <v>507</v>
      </c>
      <c r="C249" s="2" t="str">
        <f>"707-0025"</f>
        <v>707-0025</v>
      </c>
      <c r="D249" s="2" t="s">
        <v>508</v>
      </c>
      <c r="E249" s="1">
        <v>46387</v>
      </c>
    </row>
    <row r="250" spans="1:5" ht="30" customHeight="1" x14ac:dyDescent="0.4">
      <c r="A250" s="3">
        <v>247</v>
      </c>
      <c r="B250" s="2" t="s">
        <v>434</v>
      </c>
      <c r="C250" s="2" t="str">
        <f>"707-0062"</f>
        <v>707-0062</v>
      </c>
      <c r="D250" s="2" t="str">
        <f>"美作市湯郷915-12"</f>
        <v>美作市湯郷915-12</v>
      </c>
      <c r="E250" s="1">
        <v>47118</v>
      </c>
    </row>
    <row r="251" spans="1:5" ht="30" customHeight="1" x14ac:dyDescent="0.4">
      <c r="A251" s="3">
        <v>248</v>
      </c>
      <c r="B251" s="2" t="s">
        <v>512</v>
      </c>
      <c r="C251" s="2" t="str">
        <f>"709-4214"</f>
        <v>709-4214</v>
      </c>
      <c r="D251" s="2" t="str">
        <f>"美作市豆田４９－４"</f>
        <v>美作市豆田４９－４</v>
      </c>
      <c r="E251" s="1">
        <v>46387</v>
      </c>
    </row>
    <row r="252" spans="1:5" ht="30" customHeight="1" x14ac:dyDescent="0.4">
      <c r="A252" s="3">
        <v>249</v>
      </c>
      <c r="B252" s="2" t="s">
        <v>445</v>
      </c>
      <c r="C252" s="2" t="str">
        <f>"719-0243"</f>
        <v>719-0243</v>
      </c>
      <c r="D252" s="2" t="str">
        <f>"浅口市鴨方町鴨方１０９２－７"</f>
        <v>浅口市鴨方町鴨方１０９２－７</v>
      </c>
      <c r="E252" s="1">
        <v>47483</v>
      </c>
    </row>
    <row r="253" spans="1:5" ht="30" customHeight="1" x14ac:dyDescent="0.4">
      <c r="A253" s="3">
        <v>250</v>
      </c>
      <c r="B253" s="2" t="s">
        <v>439</v>
      </c>
      <c r="C253" s="2" t="str">
        <f>"719-0244"</f>
        <v>719-0244</v>
      </c>
      <c r="D253" s="2" t="str">
        <f>"浅口市鴨方町深田９９０－４"</f>
        <v>浅口市鴨方町深田９９０－４</v>
      </c>
      <c r="E253" s="1">
        <v>46387</v>
      </c>
    </row>
    <row r="254" spans="1:5" ht="30" customHeight="1" x14ac:dyDescent="0.4">
      <c r="A254" s="3">
        <v>251</v>
      </c>
      <c r="B254" s="2" t="s">
        <v>442</v>
      </c>
      <c r="C254" s="2" t="str">
        <f>"719-0113"</f>
        <v>719-0113</v>
      </c>
      <c r="D254" s="2" t="str">
        <f>"浅口市金光町佐方９２－２"</f>
        <v>浅口市金光町佐方９２－２</v>
      </c>
      <c r="E254" s="1">
        <v>46752</v>
      </c>
    </row>
    <row r="255" spans="1:5" ht="30" customHeight="1" x14ac:dyDescent="0.4">
      <c r="A255" s="3">
        <v>252</v>
      </c>
      <c r="B255" s="2" t="s">
        <v>441</v>
      </c>
      <c r="C255" s="2" t="str">
        <f>"719-0104"</f>
        <v>719-0104</v>
      </c>
      <c r="D255" s="2" t="str">
        <f>"浅口市金光町占見新田３９８－６"</f>
        <v>浅口市金光町占見新田３９８－６</v>
      </c>
      <c r="E255" s="1">
        <v>47118</v>
      </c>
    </row>
    <row r="256" spans="1:5" ht="30" customHeight="1" x14ac:dyDescent="0.4">
      <c r="A256" s="3">
        <v>253</v>
      </c>
      <c r="B256" s="2" t="s">
        <v>438</v>
      </c>
      <c r="C256" s="2" t="str">
        <f>"719-0104"</f>
        <v>719-0104</v>
      </c>
      <c r="D256" s="2" t="str">
        <f>"浅口市金光町占見新田７４０－２"</f>
        <v>浅口市金光町占見新田７４０－２</v>
      </c>
      <c r="E256" s="1">
        <v>46387</v>
      </c>
    </row>
    <row r="257" spans="1:5" ht="30" customHeight="1" x14ac:dyDescent="0.4">
      <c r="A257" s="3">
        <v>254</v>
      </c>
      <c r="B257" s="2" t="s">
        <v>469</v>
      </c>
      <c r="C257" s="2" t="str">
        <f>"719-0243"</f>
        <v>719-0243</v>
      </c>
      <c r="D257" s="2" t="str">
        <f>"浅口市鴨方町鴨方１０７９－１３"</f>
        <v>浅口市鴨方町鴨方１０７９－１３</v>
      </c>
      <c r="E257" s="1">
        <v>46387</v>
      </c>
    </row>
    <row r="258" spans="1:5" ht="30" customHeight="1" x14ac:dyDescent="0.4">
      <c r="A258" s="3">
        <v>255</v>
      </c>
      <c r="B258" s="2" t="s">
        <v>467</v>
      </c>
      <c r="C258" s="2" t="str">
        <f>"719-0252"</f>
        <v>719-0252</v>
      </c>
      <c r="D258" s="2" t="s">
        <v>468</v>
      </c>
      <c r="E258" s="1">
        <v>46387</v>
      </c>
    </row>
    <row r="259" spans="1:5" ht="30" customHeight="1" x14ac:dyDescent="0.4">
      <c r="A259" s="3">
        <v>256</v>
      </c>
      <c r="B259" s="2" t="s">
        <v>443</v>
      </c>
      <c r="C259" s="2" t="str">
        <f>"714-0101"</f>
        <v>714-0101</v>
      </c>
      <c r="D259" s="2" t="s">
        <v>444</v>
      </c>
      <c r="E259" s="1">
        <v>47118</v>
      </c>
    </row>
    <row r="260" spans="1:5" ht="30" customHeight="1" x14ac:dyDescent="0.4">
      <c r="A260" s="3">
        <v>257</v>
      </c>
      <c r="B260" s="2" t="s">
        <v>471</v>
      </c>
      <c r="C260" s="2" t="str">
        <f>"714-0101"</f>
        <v>714-0101</v>
      </c>
      <c r="D260" s="2" t="str">
        <f>"浅口市寄島町７５４３－１０"</f>
        <v>浅口市寄島町７５４３－１０</v>
      </c>
      <c r="E260" s="1">
        <v>46387</v>
      </c>
    </row>
    <row r="261" spans="1:5" ht="30" customHeight="1" x14ac:dyDescent="0.4">
      <c r="A261" s="3">
        <v>258</v>
      </c>
      <c r="B261" s="2" t="s">
        <v>440</v>
      </c>
      <c r="C261" s="2" t="str">
        <f>"719-0243"</f>
        <v>719-0243</v>
      </c>
      <c r="D261" s="2" t="str">
        <f>"浅口市鴨方町鴨方１６３９－５"</f>
        <v>浅口市鴨方町鴨方１６３９－５</v>
      </c>
      <c r="E261" s="1">
        <v>46387</v>
      </c>
    </row>
    <row r="262" spans="1:5" ht="30" customHeight="1" x14ac:dyDescent="0.4">
      <c r="A262" s="3">
        <v>259</v>
      </c>
      <c r="B262" s="2" t="s">
        <v>455</v>
      </c>
      <c r="C262" s="2" t="str">
        <f>"709-0442"</f>
        <v>709-0442</v>
      </c>
      <c r="D262" s="2" t="str">
        <f>"和気郡和気町福富６３８－３"</f>
        <v>和気郡和気町福富６３８－３</v>
      </c>
      <c r="E262" s="1">
        <v>46387</v>
      </c>
    </row>
    <row r="263" spans="1:5" ht="30" customHeight="1" x14ac:dyDescent="0.4">
      <c r="A263" s="3">
        <v>260</v>
      </c>
      <c r="B263" s="2" t="s">
        <v>451</v>
      </c>
      <c r="C263" s="2" t="str">
        <f>"709-0451"</f>
        <v>709-0451</v>
      </c>
      <c r="D263" s="2" t="s">
        <v>452</v>
      </c>
      <c r="E263" s="1">
        <v>46387</v>
      </c>
    </row>
    <row r="264" spans="1:5" ht="30" customHeight="1" x14ac:dyDescent="0.4">
      <c r="A264" s="3">
        <v>261</v>
      </c>
      <c r="B264" s="2" t="s">
        <v>456</v>
      </c>
      <c r="C264" s="2" t="str">
        <f>"709-0421"</f>
        <v>709-0421</v>
      </c>
      <c r="D264" s="2" t="str">
        <f>"和気郡和気町日室１４３－１"</f>
        <v>和気郡和気町日室１４３－１</v>
      </c>
      <c r="E264" s="1">
        <v>47483</v>
      </c>
    </row>
    <row r="265" spans="1:5" ht="30" customHeight="1" x14ac:dyDescent="0.4">
      <c r="A265" s="3">
        <v>262</v>
      </c>
      <c r="B265" s="2" t="s">
        <v>457</v>
      </c>
      <c r="C265" s="2" t="str">
        <f>"709-0413"</f>
        <v>709-0413</v>
      </c>
      <c r="D265" s="2" t="str">
        <f>"和気郡和気町泉50-5"</f>
        <v>和気郡和気町泉50-5</v>
      </c>
      <c r="E265" s="1">
        <v>47118</v>
      </c>
    </row>
    <row r="266" spans="1:5" ht="30" customHeight="1" x14ac:dyDescent="0.4">
      <c r="A266" s="3">
        <v>263</v>
      </c>
      <c r="B266" s="2" t="s">
        <v>453</v>
      </c>
      <c r="C266" s="2" t="str">
        <f>"709-0521"</f>
        <v>709-0521</v>
      </c>
      <c r="D266" s="2" t="s">
        <v>454</v>
      </c>
      <c r="E266" s="1">
        <v>46387</v>
      </c>
    </row>
    <row r="267" spans="1:5" ht="30" customHeight="1" x14ac:dyDescent="0.4">
      <c r="A267" s="3">
        <v>264</v>
      </c>
      <c r="B267" s="2" t="s">
        <v>460</v>
      </c>
      <c r="C267" s="2" t="str">
        <f>"701-0303"</f>
        <v>701-0303</v>
      </c>
      <c r="D267" s="2" t="str">
        <f>"都窪郡早島町前潟２８１－２"</f>
        <v>都窪郡早島町前潟２８１－２</v>
      </c>
      <c r="E267" s="1">
        <v>46387</v>
      </c>
    </row>
    <row r="268" spans="1:5" ht="30" customHeight="1" x14ac:dyDescent="0.4">
      <c r="A268" s="3">
        <v>265</v>
      </c>
      <c r="B268" s="2" t="s">
        <v>465</v>
      </c>
      <c r="C268" s="2" t="str">
        <f>"701-0303"</f>
        <v>701-0303</v>
      </c>
      <c r="D268" s="2" t="str">
        <f>"都窪郡早島町前潟618-11"</f>
        <v>都窪郡早島町前潟618-11</v>
      </c>
      <c r="E268" s="1">
        <v>47118</v>
      </c>
    </row>
    <row r="269" spans="1:5" ht="30" customHeight="1" x14ac:dyDescent="0.4">
      <c r="A269" s="3">
        <v>266</v>
      </c>
      <c r="B269" s="2" t="s">
        <v>463</v>
      </c>
      <c r="C269" s="2" t="str">
        <f>"701-0304"</f>
        <v>701-0304</v>
      </c>
      <c r="D269" s="2" t="s">
        <v>464</v>
      </c>
      <c r="E269" s="1">
        <v>46752</v>
      </c>
    </row>
    <row r="270" spans="1:5" ht="30" customHeight="1" x14ac:dyDescent="0.4">
      <c r="A270" s="3">
        <v>267</v>
      </c>
      <c r="B270" s="2" t="s">
        <v>461</v>
      </c>
      <c r="C270" s="2" t="str">
        <f>"701-0304"</f>
        <v>701-0304</v>
      </c>
      <c r="D270" s="2" t="str">
        <f>"都窪郡早島町早島字水田３３１７－３"</f>
        <v>都窪郡早島町早島字水田３３１７－３</v>
      </c>
      <c r="E270" s="1">
        <v>46387</v>
      </c>
    </row>
    <row r="271" spans="1:5" ht="30" customHeight="1" x14ac:dyDescent="0.4">
      <c r="A271" s="3">
        <v>268</v>
      </c>
      <c r="B271" s="2" t="s">
        <v>462</v>
      </c>
      <c r="C271" s="2" t="str">
        <f>"701-0304"</f>
        <v>701-0304</v>
      </c>
      <c r="D271" s="2" t="str">
        <f>"都窪郡早島町早島３５２６－６"</f>
        <v>都窪郡早島町早島３５２６－６</v>
      </c>
      <c r="E271" s="1">
        <v>46387</v>
      </c>
    </row>
    <row r="272" spans="1:5" ht="30" customHeight="1" x14ac:dyDescent="0.4">
      <c r="A272" s="3">
        <v>269</v>
      </c>
      <c r="B272" s="2" t="s">
        <v>466</v>
      </c>
      <c r="C272" s="2" t="str">
        <f>"719-0303"</f>
        <v>719-0303</v>
      </c>
      <c r="D272" s="2" t="str">
        <f>"浅口郡里庄町浜中９３－１０４"</f>
        <v>浅口郡里庄町浜中９３－１０４</v>
      </c>
      <c r="E272" s="1">
        <v>46387</v>
      </c>
    </row>
    <row r="273" spans="1:5" ht="30" customHeight="1" x14ac:dyDescent="0.4">
      <c r="A273" s="3">
        <v>270</v>
      </c>
      <c r="B273" s="2" t="s">
        <v>472</v>
      </c>
      <c r="C273" s="2" t="str">
        <f>"719-0302"</f>
        <v>719-0302</v>
      </c>
      <c r="D273" s="2" t="str">
        <f>"浅口郡里庄町新庄１３８８－３"</f>
        <v>浅口郡里庄町新庄１３８８－３</v>
      </c>
      <c r="E273" s="1">
        <v>46387</v>
      </c>
    </row>
    <row r="274" spans="1:5" ht="30" customHeight="1" x14ac:dyDescent="0.4">
      <c r="A274" s="3">
        <v>271</v>
      </c>
      <c r="B274" s="2" t="s">
        <v>470</v>
      </c>
      <c r="C274" s="2" t="str">
        <f>"719-0302"</f>
        <v>719-0302</v>
      </c>
      <c r="D274" s="2" t="str">
        <f>"浅口郡里庄町大字新庄２９２８－２"</f>
        <v>浅口郡里庄町大字新庄２９２８－２</v>
      </c>
      <c r="E274" s="1">
        <v>46387</v>
      </c>
    </row>
    <row r="275" spans="1:5" ht="30" customHeight="1" x14ac:dyDescent="0.4">
      <c r="A275" s="3">
        <v>272</v>
      </c>
      <c r="B275" s="2" t="s">
        <v>473</v>
      </c>
      <c r="C275" s="2" t="str">
        <f>"719-0302"</f>
        <v>719-0302</v>
      </c>
      <c r="D275" s="2" t="str">
        <f>"浅口郡里庄町新庄５３４１－１"</f>
        <v>浅口郡里庄町新庄５３４１－１</v>
      </c>
      <c r="E275" s="1">
        <v>47848</v>
      </c>
    </row>
    <row r="276" spans="1:5" ht="30" customHeight="1" x14ac:dyDescent="0.4">
      <c r="A276" s="3">
        <v>273</v>
      </c>
      <c r="B276" s="2" t="s">
        <v>474</v>
      </c>
      <c r="C276" s="2" t="str">
        <f>"714-1227"</f>
        <v>714-1227</v>
      </c>
      <c r="D276" s="2" t="str">
        <f>"小田郡矢掛町小田5526-1"</f>
        <v>小田郡矢掛町小田5526-1</v>
      </c>
      <c r="E276" s="1">
        <v>47483</v>
      </c>
    </row>
    <row r="277" spans="1:5" ht="30" customHeight="1" x14ac:dyDescent="0.4">
      <c r="A277" s="3">
        <v>274</v>
      </c>
      <c r="B277" s="2" t="s">
        <v>477</v>
      </c>
      <c r="C277" s="2" t="str">
        <f>"714-1202"</f>
        <v>714-1202</v>
      </c>
      <c r="D277" s="2" t="str">
        <f>"小田郡矢掛町小林２９２－１"</f>
        <v>小田郡矢掛町小林２９２－１</v>
      </c>
      <c r="E277" s="1">
        <v>47848</v>
      </c>
    </row>
    <row r="278" spans="1:5" ht="30" customHeight="1" x14ac:dyDescent="0.4">
      <c r="A278" s="3">
        <v>275</v>
      </c>
      <c r="B278" s="2" t="s">
        <v>475</v>
      </c>
      <c r="C278" s="2" t="str">
        <f>"714-1201"</f>
        <v>714-1201</v>
      </c>
      <c r="D278" s="2" t="str">
        <f>"小田郡矢掛町矢掛２６８５－１"</f>
        <v>小田郡矢掛町矢掛２６８５－１</v>
      </c>
      <c r="E278" s="1">
        <v>46387</v>
      </c>
    </row>
    <row r="279" spans="1:5" ht="30" customHeight="1" x14ac:dyDescent="0.4">
      <c r="A279" s="3">
        <v>276</v>
      </c>
      <c r="B279" s="2" t="s">
        <v>476</v>
      </c>
      <c r="C279" s="2" t="str">
        <f>"714-1201"</f>
        <v>714-1201</v>
      </c>
      <c r="D279" s="2" t="str">
        <f>"小田郡矢掛町矢掛２５５８－７"</f>
        <v>小田郡矢掛町矢掛２５５８－７</v>
      </c>
      <c r="E279" s="1">
        <v>46387</v>
      </c>
    </row>
    <row r="280" spans="1:5" ht="30" customHeight="1" x14ac:dyDescent="0.4">
      <c r="A280" s="3">
        <v>277</v>
      </c>
      <c r="B280" s="2" t="s">
        <v>497</v>
      </c>
      <c r="C280" s="2" t="str">
        <f>"708-0323"</f>
        <v>708-0323</v>
      </c>
      <c r="D280" s="2" t="str">
        <f>"苫田郡鏡野町寺元374-2"</f>
        <v>苫田郡鏡野町寺元374-2</v>
      </c>
      <c r="E280" s="1">
        <v>47483</v>
      </c>
    </row>
    <row r="281" spans="1:5" ht="30" customHeight="1" x14ac:dyDescent="0.4">
      <c r="A281" s="3">
        <v>278</v>
      </c>
      <c r="B281" s="2" t="s">
        <v>496</v>
      </c>
      <c r="C281" s="2" t="str">
        <f>"708-0323"</f>
        <v>708-0323</v>
      </c>
      <c r="D281" s="2" t="str">
        <f>"苫田郡鏡野町寺元341-7"</f>
        <v>苫田郡鏡野町寺元341-7</v>
      </c>
      <c r="E281" s="1">
        <v>47118</v>
      </c>
    </row>
    <row r="282" spans="1:5" ht="30" customHeight="1" x14ac:dyDescent="0.4">
      <c r="A282" s="3">
        <v>279</v>
      </c>
      <c r="B282" s="2" t="s">
        <v>495</v>
      </c>
      <c r="C282" s="2" t="str">
        <f>"708-0332"</f>
        <v>708-0332</v>
      </c>
      <c r="D282" s="2" t="s">
        <v>494</v>
      </c>
      <c r="E282" s="1">
        <v>46387</v>
      </c>
    </row>
    <row r="283" spans="1:5" ht="30" customHeight="1" x14ac:dyDescent="0.4">
      <c r="A283" s="3">
        <v>280</v>
      </c>
      <c r="B283" s="2" t="s">
        <v>502</v>
      </c>
      <c r="C283" s="2" t="str">
        <f>"709-4312"</f>
        <v>709-4312</v>
      </c>
      <c r="D283" s="2" t="str">
        <f>"勝田郡勝央町黒土７２－２"</f>
        <v>勝田郡勝央町黒土７２－２</v>
      </c>
      <c r="E283" s="1">
        <v>46387</v>
      </c>
    </row>
    <row r="284" spans="1:5" ht="30" customHeight="1" x14ac:dyDescent="0.4">
      <c r="A284" s="3">
        <v>281</v>
      </c>
      <c r="B284" s="2" t="s">
        <v>505</v>
      </c>
      <c r="C284" s="2" t="str">
        <f>"709-4313"</f>
        <v>709-4313</v>
      </c>
      <c r="D284" s="2" t="str">
        <f>"勝田郡勝央町小矢田６１５－１"</f>
        <v>勝田郡勝央町小矢田６１５－１</v>
      </c>
      <c r="E284" s="1">
        <v>47483</v>
      </c>
    </row>
    <row r="285" spans="1:5" ht="30" customHeight="1" x14ac:dyDescent="0.4">
      <c r="A285" s="3">
        <v>282</v>
      </c>
      <c r="B285" s="2" t="s">
        <v>506</v>
      </c>
      <c r="C285" s="2" t="str">
        <f>"709-4335"</f>
        <v>709-4335</v>
      </c>
      <c r="D285" s="2" t="str">
        <f>"勝田郡勝央町植月中２８６４－３"</f>
        <v>勝田郡勝央町植月中２８６４－３</v>
      </c>
      <c r="E285" s="1">
        <v>47848</v>
      </c>
    </row>
    <row r="286" spans="1:5" ht="30" customHeight="1" x14ac:dyDescent="0.4">
      <c r="A286" s="3">
        <v>283</v>
      </c>
      <c r="B286" s="2" t="s">
        <v>503</v>
      </c>
      <c r="C286" s="2" t="str">
        <f>"709-4311"</f>
        <v>709-4311</v>
      </c>
      <c r="D286" s="2" t="s">
        <v>504</v>
      </c>
      <c r="E286" s="1">
        <v>46752</v>
      </c>
    </row>
    <row r="287" spans="1:5" ht="30" customHeight="1" x14ac:dyDescent="0.4">
      <c r="A287" s="3">
        <v>284</v>
      </c>
      <c r="B287" s="2" t="s">
        <v>500</v>
      </c>
      <c r="C287" s="2" t="str">
        <f>"708-1323"</f>
        <v>708-1323</v>
      </c>
      <c r="D287" s="2" t="str">
        <f>"勝田郡奈義町豊沢２９２－１２"</f>
        <v>勝田郡奈義町豊沢２９２－１２</v>
      </c>
      <c r="E287" s="1">
        <v>46387</v>
      </c>
    </row>
    <row r="288" spans="1:5" ht="30" customHeight="1" x14ac:dyDescent="0.4">
      <c r="A288" s="3">
        <v>285</v>
      </c>
      <c r="B288" s="2" t="s">
        <v>516</v>
      </c>
      <c r="C288" s="2" t="str">
        <f>"709-3614"</f>
        <v>709-3614</v>
      </c>
      <c r="D288" s="2" t="str">
        <f>"久米郡久米南町下弓削389-2"</f>
        <v>久米郡久米南町下弓削389-2</v>
      </c>
      <c r="E288" s="1">
        <v>47118</v>
      </c>
    </row>
    <row r="289" spans="1:5" ht="30" customHeight="1" x14ac:dyDescent="0.4">
      <c r="A289" s="3">
        <v>286</v>
      </c>
      <c r="B289" s="2" t="s">
        <v>514</v>
      </c>
      <c r="C289" s="2" t="str">
        <f>"709-3627"</f>
        <v>709-3627</v>
      </c>
      <c r="D289" s="2" t="s">
        <v>515</v>
      </c>
      <c r="E289" s="1">
        <v>46387</v>
      </c>
    </row>
    <row r="290" spans="1:5" ht="30" customHeight="1" x14ac:dyDescent="0.4">
      <c r="A290" s="3">
        <v>287</v>
      </c>
      <c r="B290" s="2" t="s">
        <v>517</v>
      </c>
      <c r="C290" s="2" t="str">
        <f>"709-3717"</f>
        <v>709-3717</v>
      </c>
      <c r="D290" s="2" t="s">
        <v>518</v>
      </c>
      <c r="E290" s="1">
        <v>48213</v>
      </c>
    </row>
    <row r="291" spans="1:5" ht="30" customHeight="1" x14ac:dyDescent="0.4">
      <c r="A291" s="3">
        <v>288</v>
      </c>
      <c r="B291" s="2" t="s">
        <v>522</v>
      </c>
      <c r="C291" s="2" t="str">
        <f>"709-2331"</f>
        <v>709-2331</v>
      </c>
      <c r="D291" s="2" t="str">
        <f>"加賀郡吉備中央町下加茂１１０３－９"</f>
        <v>加賀郡吉備中央町下加茂１１０３－９</v>
      </c>
      <c r="E291" s="1">
        <v>46387</v>
      </c>
    </row>
    <row r="292" spans="1:5" ht="30" customHeight="1" x14ac:dyDescent="0.4">
      <c r="A292" s="3">
        <v>289</v>
      </c>
      <c r="B292" s="2" t="s">
        <v>521</v>
      </c>
      <c r="C292" s="2" t="str">
        <f>"716-1241"</f>
        <v>716-1241</v>
      </c>
      <c r="D292" s="2" t="str">
        <f>"加賀郡吉備中央町吉川７５２０－１０"</f>
        <v>加賀郡吉備中央町吉川７５２０－１０</v>
      </c>
      <c r="E292" s="1">
        <v>47118</v>
      </c>
    </row>
    <row r="293" spans="1:5" ht="30" customHeight="1" x14ac:dyDescent="0.4">
      <c r="A293" s="3">
        <v>290</v>
      </c>
      <c r="B293" s="2" t="s">
        <v>519</v>
      </c>
      <c r="C293" s="2" t="str">
        <f>"716-1122"</f>
        <v>716-1122</v>
      </c>
      <c r="D293" s="2" t="s">
        <v>520</v>
      </c>
      <c r="E29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9AAC-8BFA-41BF-AE62-661F5629BF94}">
  <dimension ref="A1:E49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594</v>
      </c>
      <c r="B1" s="4"/>
      <c r="C1" s="4"/>
      <c r="D1" s="4"/>
      <c r="E1" s="4"/>
    </row>
    <row r="2" spans="1:5" ht="30" customHeight="1" x14ac:dyDescent="0.4">
      <c r="E2" s="5">
        <v>46054</v>
      </c>
    </row>
    <row r="3" spans="1:5" ht="30" customHeight="1" x14ac:dyDescent="0.4">
      <c r="A3" s="3" t="s">
        <v>591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528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586</v>
      </c>
      <c r="C5" s="2" t="str">
        <f>"709-3931"</f>
        <v>709-3931</v>
      </c>
      <c r="D5" s="2" t="s">
        <v>587</v>
      </c>
      <c r="E5" s="1">
        <v>46387</v>
      </c>
    </row>
    <row r="6" spans="1:5" ht="30" customHeight="1" x14ac:dyDescent="0.4">
      <c r="A6" s="3">
        <v>3</v>
      </c>
      <c r="B6" s="2" t="s">
        <v>525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529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526</v>
      </c>
      <c r="C8" s="2" t="str">
        <f>"708-0061"</f>
        <v>708-0061</v>
      </c>
      <c r="D8" s="2" t="s">
        <v>527</v>
      </c>
      <c r="E8" s="1">
        <v>46387</v>
      </c>
    </row>
    <row r="9" spans="1:5" ht="30" customHeight="1" x14ac:dyDescent="0.4">
      <c r="A9" s="3">
        <v>6</v>
      </c>
      <c r="B9" s="2" t="s">
        <v>523</v>
      </c>
      <c r="C9" s="2" t="str">
        <f>"708-0872"</f>
        <v>708-0872</v>
      </c>
      <c r="D9" s="2" t="s">
        <v>524</v>
      </c>
      <c r="E9" s="1">
        <v>46387</v>
      </c>
    </row>
    <row r="10" spans="1:5" ht="30" customHeight="1" x14ac:dyDescent="0.4">
      <c r="A10" s="3">
        <v>7</v>
      </c>
      <c r="B10" s="2" t="s">
        <v>530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532</v>
      </c>
      <c r="C11" s="2" t="str">
        <f>"706-0151"</f>
        <v>706-0151</v>
      </c>
      <c r="D11" s="2" t="str">
        <f>"玉野市長尾７５９－１－１０５"</f>
        <v>玉野市長尾７５９－１－１０５</v>
      </c>
      <c r="E11" s="1">
        <v>46387</v>
      </c>
    </row>
    <row r="12" spans="1:5" ht="30" customHeight="1" x14ac:dyDescent="0.4">
      <c r="A12" s="3">
        <v>9</v>
      </c>
      <c r="B12" s="2" t="s">
        <v>531</v>
      </c>
      <c r="C12" s="2" t="str">
        <f>"706-0001"</f>
        <v>706-0001</v>
      </c>
      <c r="D12" s="2" t="s">
        <v>27</v>
      </c>
      <c r="E12" s="1">
        <v>46387</v>
      </c>
    </row>
    <row r="13" spans="1:5" ht="30" customHeight="1" x14ac:dyDescent="0.4">
      <c r="A13" s="3">
        <v>10</v>
      </c>
      <c r="B13" s="2" t="s">
        <v>571</v>
      </c>
      <c r="C13" s="2" t="str">
        <f>"706-0134"</f>
        <v>706-0134</v>
      </c>
      <c r="D13" s="2" t="str">
        <f>"玉野市東高崎２４－８"</f>
        <v>玉野市東高崎２４－８</v>
      </c>
      <c r="E13" s="1">
        <v>46387</v>
      </c>
    </row>
    <row r="14" spans="1:5" ht="30" customHeight="1" x14ac:dyDescent="0.4">
      <c r="A14" s="3">
        <v>11</v>
      </c>
      <c r="B14" s="2" t="s">
        <v>533</v>
      </c>
      <c r="C14" s="2" t="str">
        <f>"714-0081"</f>
        <v>714-0081</v>
      </c>
      <c r="D14" s="2" t="s">
        <v>534</v>
      </c>
      <c r="E14" s="1">
        <v>46387</v>
      </c>
    </row>
    <row r="15" spans="1:5" ht="30" customHeight="1" x14ac:dyDescent="0.4">
      <c r="A15" s="3">
        <v>12</v>
      </c>
      <c r="B15" s="2" t="s">
        <v>535</v>
      </c>
      <c r="C15" s="2" t="str">
        <f>"714-0043"</f>
        <v>714-0043</v>
      </c>
      <c r="D15" s="2" t="str">
        <f>"笠岡市横島１９４４－１"</f>
        <v>笠岡市横島１９４４－１</v>
      </c>
      <c r="E15" s="1">
        <v>46387</v>
      </c>
    </row>
    <row r="16" spans="1:5" ht="30" customHeight="1" x14ac:dyDescent="0.4">
      <c r="A16" s="3">
        <v>13</v>
      </c>
      <c r="B16" s="2" t="s">
        <v>536</v>
      </c>
      <c r="C16" s="2" t="str">
        <f>"714-0001"</f>
        <v>714-0001</v>
      </c>
      <c r="D16" s="2" t="s">
        <v>537</v>
      </c>
      <c r="E16" s="1">
        <v>47118</v>
      </c>
    </row>
    <row r="17" spans="1:5" ht="30" customHeight="1" x14ac:dyDescent="0.4">
      <c r="A17" s="3">
        <v>14</v>
      </c>
      <c r="B17" s="2" t="s">
        <v>538</v>
      </c>
      <c r="C17" s="2" t="str">
        <f>"714-0005"</f>
        <v>714-0005</v>
      </c>
      <c r="D17" s="2" t="s">
        <v>539</v>
      </c>
      <c r="E17" s="1">
        <v>47848</v>
      </c>
    </row>
    <row r="18" spans="1:5" ht="30" customHeight="1" x14ac:dyDescent="0.4">
      <c r="A18" s="3">
        <v>15</v>
      </c>
      <c r="B18" s="2" t="s">
        <v>540</v>
      </c>
      <c r="C18" s="2" t="str">
        <f>"715-0019"</f>
        <v>715-0019</v>
      </c>
      <c r="D18" s="2" t="s">
        <v>541</v>
      </c>
      <c r="E18" s="1">
        <v>46387</v>
      </c>
    </row>
    <row r="19" spans="1:5" ht="30" customHeight="1" x14ac:dyDescent="0.4">
      <c r="A19" s="3">
        <v>16</v>
      </c>
      <c r="B19" s="2" t="s">
        <v>542</v>
      </c>
      <c r="C19" s="2" t="str">
        <f>"719-1155"</f>
        <v>719-1155</v>
      </c>
      <c r="D19" s="2" t="str">
        <f>"総社市小寺９９５－１"</f>
        <v>総社市小寺９９５－１</v>
      </c>
      <c r="E19" s="1">
        <v>46387</v>
      </c>
    </row>
    <row r="20" spans="1:5" ht="30" customHeight="1" x14ac:dyDescent="0.4">
      <c r="A20" s="3">
        <v>17</v>
      </c>
      <c r="B20" s="2" t="s">
        <v>549</v>
      </c>
      <c r="C20" s="2" t="str">
        <f>"719-1133"</f>
        <v>719-1133</v>
      </c>
      <c r="D20" s="2" t="str">
        <f>"総社市中原５８０－６"</f>
        <v>総社市中原５８０－６</v>
      </c>
      <c r="E20" s="1">
        <v>47848</v>
      </c>
    </row>
    <row r="21" spans="1:5" ht="30" customHeight="1" x14ac:dyDescent="0.4">
      <c r="A21" s="3">
        <v>18</v>
      </c>
      <c r="B21" s="2" t="s">
        <v>547</v>
      </c>
      <c r="C21" s="2" t="str">
        <f>"719-1316"</f>
        <v>719-1316</v>
      </c>
      <c r="D21" s="2" t="s">
        <v>548</v>
      </c>
      <c r="E21" s="1">
        <v>47848</v>
      </c>
    </row>
    <row r="22" spans="1:5" ht="30" customHeight="1" x14ac:dyDescent="0.4">
      <c r="A22" s="3">
        <v>19</v>
      </c>
      <c r="B22" s="2" t="s">
        <v>544</v>
      </c>
      <c r="C22" s="2" t="str">
        <f>"719-1114"</f>
        <v>719-1114</v>
      </c>
      <c r="D22" s="2" t="s">
        <v>545</v>
      </c>
      <c r="E22" s="1">
        <v>46387</v>
      </c>
    </row>
    <row r="23" spans="1:5" ht="30" customHeight="1" x14ac:dyDescent="0.4">
      <c r="A23" s="3">
        <v>20</v>
      </c>
      <c r="B23" s="2" t="s">
        <v>543</v>
      </c>
      <c r="C23" s="2" t="str">
        <f>"719-1136"</f>
        <v>719-1136</v>
      </c>
      <c r="D23" s="2" t="str">
        <f>"総社市駅前１丁目６－１"</f>
        <v>総社市駅前１丁目６－１</v>
      </c>
      <c r="E23" s="1">
        <v>46387</v>
      </c>
    </row>
    <row r="24" spans="1:5" ht="30" customHeight="1" x14ac:dyDescent="0.4">
      <c r="A24" s="3">
        <v>21</v>
      </c>
      <c r="B24" s="2" t="s">
        <v>546</v>
      </c>
      <c r="C24" s="2" t="str">
        <f>"719-1124"</f>
        <v>719-1124</v>
      </c>
      <c r="D24" s="2" t="str">
        <f>"総社市三須１５２４－４"</f>
        <v>総社市三須１５２４－４</v>
      </c>
      <c r="E24" s="1">
        <v>46387</v>
      </c>
    </row>
    <row r="25" spans="1:5" ht="30" customHeight="1" x14ac:dyDescent="0.4">
      <c r="A25" s="3">
        <v>22</v>
      </c>
      <c r="B25" s="2" t="s">
        <v>577</v>
      </c>
      <c r="C25" s="2" t="str">
        <f>"716-0111"</f>
        <v>716-0111</v>
      </c>
      <c r="D25" s="2" t="s">
        <v>164</v>
      </c>
      <c r="E25" s="1">
        <v>46387</v>
      </c>
    </row>
    <row r="26" spans="1:5" ht="30" customHeight="1" x14ac:dyDescent="0.4">
      <c r="A26" s="3">
        <v>23</v>
      </c>
      <c r="B26" s="2" t="s">
        <v>550</v>
      </c>
      <c r="C26" s="2" t="str">
        <f>"716-0033"</f>
        <v>716-0033</v>
      </c>
      <c r="D26" s="2" t="s">
        <v>551</v>
      </c>
      <c r="E26" s="1">
        <v>47118</v>
      </c>
    </row>
    <row r="27" spans="1:5" ht="30" customHeight="1" x14ac:dyDescent="0.4">
      <c r="A27" s="3">
        <v>24</v>
      </c>
      <c r="B27" s="2" t="s">
        <v>552</v>
      </c>
      <c r="C27" s="2" t="str">
        <f>"718-0011"</f>
        <v>718-0011</v>
      </c>
      <c r="D27" s="2" t="s">
        <v>553</v>
      </c>
      <c r="E27" s="1">
        <v>46387</v>
      </c>
    </row>
    <row r="28" spans="1:5" ht="30" customHeight="1" x14ac:dyDescent="0.4">
      <c r="A28" s="3">
        <v>25</v>
      </c>
      <c r="B28" s="2" t="s">
        <v>554</v>
      </c>
      <c r="C28" s="2" t="str">
        <f>"718-0003"</f>
        <v>718-0003</v>
      </c>
      <c r="D28" s="2" t="s">
        <v>555</v>
      </c>
      <c r="E28" s="1">
        <v>46387</v>
      </c>
    </row>
    <row r="29" spans="1:5" ht="30" customHeight="1" x14ac:dyDescent="0.4">
      <c r="A29" s="3">
        <v>26</v>
      </c>
      <c r="B29" s="2" t="s">
        <v>560</v>
      </c>
      <c r="C29" s="2" t="str">
        <f>"705-0022"</f>
        <v>705-0022</v>
      </c>
      <c r="D29" s="2" t="str">
        <f>"備前市東片上509-12"</f>
        <v>備前市東片上509-12</v>
      </c>
      <c r="E29" s="1">
        <v>47118</v>
      </c>
    </row>
    <row r="30" spans="1:5" ht="30" customHeight="1" x14ac:dyDescent="0.4">
      <c r="A30" s="3">
        <v>27</v>
      </c>
      <c r="B30" s="2" t="s">
        <v>561</v>
      </c>
      <c r="C30" s="2" t="str">
        <f>"701-3204"</f>
        <v>701-3204</v>
      </c>
      <c r="D30" s="2" t="str">
        <f>"備前市日生町日生１４３９－５"</f>
        <v>備前市日生町日生１４３９－５</v>
      </c>
      <c r="E30" s="1">
        <v>47483</v>
      </c>
    </row>
    <row r="31" spans="1:5" ht="30" customHeight="1" x14ac:dyDescent="0.4">
      <c r="A31" s="3">
        <v>28</v>
      </c>
      <c r="B31" s="2" t="s">
        <v>556</v>
      </c>
      <c r="C31" s="2" t="str">
        <f>"705-0001"</f>
        <v>705-0001</v>
      </c>
      <c r="D31" s="2" t="s">
        <v>557</v>
      </c>
      <c r="E31" s="1">
        <v>47848</v>
      </c>
    </row>
    <row r="32" spans="1:5" ht="30" customHeight="1" x14ac:dyDescent="0.4">
      <c r="A32" s="3">
        <v>29</v>
      </c>
      <c r="B32" s="2" t="s">
        <v>562</v>
      </c>
      <c r="C32" s="2" t="str">
        <f>"705-0021"</f>
        <v>705-0021</v>
      </c>
      <c r="D32" s="2" t="s">
        <v>563</v>
      </c>
      <c r="E32" s="1">
        <v>47483</v>
      </c>
    </row>
    <row r="33" spans="1:5" ht="30" customHeight="1" x14ac:dyDescent="0.4">
      <c r="A33" s="3">
        <v>30</v>
      </c>
      <c r="B33" s="2" t="s">
        <v>558</v>
      </c>
      <c r="C33" s="2" t="str">
        <f>"705-0021"</f>
        <v>705-0021</v>
      </c>
      <c r="D33" s="2" t="s">
        <v>559</v>
      </c>
      <c r="E33" s="1">
        <v>46387</v>
      </c>
    </row>
    <row r="34" spans="1:5" ht="30" customHeight="1" x14ac:dyDescent="0.4">
      <c r="A34" s="3">
        <v>31</v>
      </c>
      <c r="B34" s="2" t="s">
        <v>570</v>
      </c>
      <c r="C34" s="2" t="str">
        <f>"701-4253"</f>
        <v>701-4253</v>
      </c>
      <c r="D34" s="2" t="str">
        <f>"瀬戸内市邑久町箕輪２６６－１"</f>
        <v>瀬戸内市邑久町箕輪２６６－１</v>
      </c>
      <c r="E34" s="1">
        <v>46387</v>
      </c>
    </row>
    <row r="35" spans="1:5" ht="30" customHeight="1" x14ac:dyDescent="0.4">
      <c r="A35" s="3">
        <v>32</v>
      </c>
      <c r="B35" s="2" t="s">
        <v>564</v>
      </c>
      <c r="C35" s="2" t="str">
        <f>"709-0821"</f>
        <v>709-0821</v>
      </c>
      <c r="D35" s="2" t="s">
        <v>104</v>
      </c>
      <c r="E35" s="1">
        <v>46387</v>
      </c>
    </row>
    <row r="36" spans="1:5" ht="30" customHeight="1" x14ac:dyDescent="0.4">
      <c r="A36" s="3">
        <v>33</v>
      </c>
      <c r="B36" s="2" t="s">
        <v>566</v>
      </c>
      <c r="C36" s="2" t="str">
        <f>"709-0705"</f>
        <v>709-0705</v>
      </c>
      <c r="D36" s="2" t="s">
        <v>567</v>
      </c>
      <c r="E36" s="1">
        <v>46387</v>
      </c>
    </row>
    <row r="37" spans="1:5" ht="30" customHeight="1" x14ac:dyDescent="0.4">
      <c r="A37" s="3">
        <v>34</v>
      </c>
      <c r="B37" s="2" t="s">
        <v>583</v>
      </c>
      <c r="C37" s="2" t="str">
        <f>"719-3197"</f>
        <v>719-3197</v>
      </c>
      <c r="D37" s="2" t="s">
        <v>584</v>
      </c>
      <c r="E37" s="1">
        <v>46387</v>
      </c>
    </row>
    <row r="38" spans="1:5" ht="30" customHeight="1" x14ac:dyDescent="0.4">
      <c r="A38" s="3">
        <v>35</v>
      </c>
      <c r="B38" s="2" t="s">
        <v>579</v>
      </c>
      <c r="C38" s="2" t="str">
        <f>"717-0403"</f>
        <v>717-0403</v>
      </c>
      <c r="D38" s="2" t="s">
        <v>580</v>
      </c>
      <c r="E38" s="1">
        <v>46387</v>
      </c>
    </row>
    <row r="39" spans="1:5" ht="30" customHeight="1" x14ac:dyDescent="0.4">
      <c r="A39" s="3">
        <v>36</v>
      </c>
      <c r="B39" s="2" t="s">
        <v>578</v>
      </c>
      <c r="C39" s="2" t="str">
        <f>"719-3105"</f>
        <v>719-3105</v>
      </c>
      <c r="D39" s="2" t="s">
        <v>131</v>
      </c>
      <c r="E39" s="1">
        <v>46387</v>
      </c>
    </row>
    <row r="40" spans="1:5" ht="30" customHeight="1" x14ac:dyDescent="0.4">
      <c r="A40" s="3">
        <v>37</v>
      </c>
      <c r="B40" s="2" t="s">
        <v>582</v>
      </c>
      <c r="C40" s="2" t="str">
        <f>"717-0013"</f>
        <v>717-0013</v>
      </c>
      <c r="D40" s="2" t="s">
        <v>135</v>
      </c>
      <c r="E40" s="1">
        <v>46387</v>
      </c>
    </row>
    <row r="41" spans="1:5" ht="30" customHeight="1" x14ac:dyDescent="0.4">
      <c r="A41" s="3">
        <v>38</v>
      </c>
      <c r="B41" s="2" t="s">
        <v>581</v>
      </c>
      <c r="C41" s="2" t="str">
        <f>"717-0007"</f>
        <v>717-0007</v>
      </c>
      <c r="D41" s="2" t="s">
        <v>129</v>
      </c>
      <c r="E41" s="1">
        <v>46387</v>
      </c>
    </row>
    <row r="42" spans="1:5" ht="30" customHeight="1" x14ac:dyDescent="0.4">
      <c r="A42" s="3">
        <v>39</v>
      </c>
      <c r="B42" s="2" t="s">
        <v>590</v>
      </c>
      <c r="C42" s="2" t="str">
        <f>"707-0003"</f>
        <v>707-0003</v>
      </c>
      <c r="D42" s="2" t="str">
        <f>"美作市明見５５０－１"</f>
        <v>美作市明見５５０－１</v>
      </c>
      <c r="E42" s="1">
        <v>47483</v>
      </c>
    </row>
    <row r="43" spans="1:5" ht="30" customHeight="1" x14ac:dyDescent="0.4">
      <c r="A43" s="3">
        <v>40</v>
      </c>
      <c r="B43" s="2" t="s">
        <v>573</v>
      </c>
      <c r="C43" s="2" t="str">
        <f>"719-0106"</f>
        <v>719-0106</v>
      </c>
      <c r="D43" s="2" t="str">
        <f>"浅口市金光町地頭下２８４－１"</f>
        <v>浅口市金光町地頭下２８４－１</v>
      </c>
      <c r="E43" s="1">
        <v>46387</v>
      </c>
    </row>
    <row r="44" spans="1:5" ht="30" customHeight="1" x14ac:dyDescent="0.4">
      <c r="A44" s="3">
        <v>41</v>
      </c>
      <c r="B44" s="2" t="s">
        <v>574</v>
      </c>
      <c r="C44" s="2" t="str">
        <f>"719-0104"</f>
        <v>719-0104</v>
      </c>
      <c r="D44" s="2" t="s">
        <v>575</v>
      </c>
      <c r="E44" s="1">
        <v>47118</v>
      </c>
    </row>
    <row r="45" spans="1:5" ht="30" customHeight="1" x14ac:dyDescent="0.4">
      <c r="A45" s="3">
        <v>42</v>
      </c>
      <c r="B45" s="2" t="s">
        <v>568</v>
      </c>
      <c r="C45" s="2" t="str">
        <f>"709-0464"</f>
        <v>709-0464</v>
      </c>
      <c r="D45" s="2" t="s">
        <v>569</v>
      </c>
      <c r="E45" s="1">
        <v>47848</v>
      </c>
    </row>
    <row r="46" spans="1:5" ht="30" customHeight="1" x14ac:dyDescent="0.4">
      <c r="A46" s="3">
        <v>43</v>
      </c>
      <c r="B46" s="2" t="s">
        <v>572</v>
      </c>
      <c r="C46" s="2" t="str">
        <f>"701-0303"</f>
        <v>701-0303</v>
      </c>
      <c r="D46" s="2" t="str">
        <f>"都窪郡早島町前潟1075-1-203号"</f>
        <v>都窪郡早島町前潟1075-1-203号</v>
      </c>
      <c r="E46" s="1">
        <v>46387</v>
      </c>
    </row>
    <row r="47" spans="1:5" ht="30" customHeight="1" x14ac:dyDescent="0.4">
      <c r="A47" s="3">
        <v>44</v>
      </c>
      <c r="B47" s="2" t="s">
        <v>576</v>
      </c>
      <c r="C47" s="2" t="str">
        <f>"714-1213"</f>
        <v>714-1213</v>
      </c>
      <c r="D47" s="2" t="str">
        <f>"小田郡矢掛町里山田597-1"</f>
        <v>小田郡矢掛町里山田597-1</v>
      </c>
      <c r="E47" s="1">
        <v>46387</v>
      </c>
    </row>
    <row r="48" spans="1:5" ht="30" customHeight="1" x14ac:dyDescent="0.4">
      <c r="A48" s="3">
        <v>45</v>
      </c>
      <c r="B48" s="2" t="s">
        <v>585</v>
      </c>
      <c r="C48" s="2" t="str">
        <f>"708-0332"</f>
        <v>708-0332</v>
      </c>
      <c r="D48" s="2" t="s">
        <v>565</v>
      </c>
      <c r="E48" s="1">
        <v>46387</v>
      </c>
    </row>
    <row r="49" spans="1:5" ht="30" customHeight="1" x14ac:dyDescent="0.4">
      <c r="A49" s="3">
        <v>46</v>
      </c>
      <c r="B49" s="2" t="s">
        <v>588</v>
      </c>
      <c r="C49" s="2" t="str">
        <f>"709-4312"</f>
        <v>709-4312</v>
      </c>
      <c r="D49" s="2" t="s">
        <v>589</v>
      </c>
      <c r="E49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cp:lastPrinted>2026-02-09T09:20:21Z</cp:lastPrinted>
  <dcterms:created xsi:type="dcterms:W3CDTF">2026-02-09T09:17:50Z</dcterms:created>
  <dcterms:modified xsi:type="dcterms:W3CDTF">2026-02-09T09:20:52Z</dcterms:modified>
</cp:coreProperties>
</file>