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3E0BB4AB-1603-4C71-A165-44845C908E40}" xr6:coauthVersionLast="47" xr6:coauthVersionMax="47" xr10:uidLastSave="{00000000-0000-0000-0000-000000000000}"/>
  <bookViews>
    <workbookView xWindow="28680" yWindow="-120" windowWidth="29040" windowHeight="15720" tabRatio="867" activeTab="3"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基本情報入力シート!$A$1:$AG$40</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1" i="105" l="1"/>
  <c r="BP14" i="103" l="1"/>
  <c r="BP15" i="103"/>
  <c r="BP16" i="103"/>
  <c r="BP17" i="103"/>
  <c r="BP18" i="103"/>
  <c r="BP19" i="103"/>
  <c r="BP20"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P115" i="103"/>
  <c r="BO14" i="103"/>
  <c r="BO15" i="103"/>
  <c r="BO16" i="103"/>
  <c r="BO17" i="103"/>
  <c r="BO18" i="103"/>
  <c r="BO19" i="103"/>
  <c r="BO20" i="103"/>
  <c r="BO21" i="103"/>
  <c r="BO22" i="103"/>
  <c r="BO23" i="103"/>
  <c r="BO24" i="103"/>
  <c r="BO25" i="103"/>
  <c r="BO26" i="103"/>
  <c r="BO27" i="103"/>
  <c r="BO28" i="103"/>
  <c r="BO29" i="103"/>
  <c r="BO30" i="103"/>
  <c r="BO31" i="103"/>
  <c r="BO32" i="103"/>
  <c r="BO33" i="103"/>
  <c r="BO34" i="103"/>
  <c r="BO35" i="103"/>
  <c r="BO36" i="103"/>
  <c r="BO37" i="103"/>
  <c r="BO38" i="103"/>
  <c r="BO39" i="103"/>
  <c r="BO40" i="103"/>
  <c r="BO41" i="103"/>
  <c r="BO42" i="103"/>
  <c r="BO43" i="103"/>
  <c r="BO44" i="103"/>
  <c r="BO45" i="103"/>
  <c r="BO46" i="103"/>
  <c r="BO47" i="103"/>
  <c r="BO48" i="103"/>
  <c r="BO49" i="103"/>
  <c r="BO50" i="103"/>
  <c r="BO51" i="103"/>
  <c r="BO52" i="103"/>
  <c r="BO53" i="103"/>
  <c r="BO54" i="103"/>
  <c r="BO55" i="103"/>
  <c r="BO56" i="103"/>
  <c r="BO57" i="103"/>
  <c r="BO58" i="103"/>
  <c r="BO59" i="103"/>
  <c r="BO60" i="103"/>
  <c r="BO61" i="103"/>
  <c r="BO62" i="103"/>
  <c r="BO63" i="103"/>
  <c r="BO64" i="103"/>
  <c r="BO65" i="103"/>
  <c r="BO66" i="103"/>
  <c r="BO67" i="103"/>
  <c r="BO68" i="103"/>
  <c r="BO69" i="103"/>
  <c r="BO70" i="103"/>
  <c r="BO71" i="103"/>
  <c r="BO72" i="103"/>
  <c r="BO73" i="103"/>
  <c r="BO74" i="103"/>
  <c r="BO75" i="103"/>
  <c r="BO76" i="103"/>
  <c r="BO77" i="103"/>
  <c r="BO78" i="103"/>
  <c r="BO79" i="103"/>
  <c r="BO80" i="103"/>
  <c r="BO81" i="103"/>
  <c r="BO82" i="103"/>
  <c r="BO83" i="103"/>
  <c r="BO84" i="103"/>
  <c r="BO85" i="103"/>
  <c r="BO86" i="103"/>
  <c r="BO87" i="103"/>
  <c r="BO88" i="103"/>
  <c r="BO89" i="103"/>
  <c r="BO90" i="103"/>
  <c r="BO91" i="103"/>
  <c r="BO92" i="103"/>
  <c r="BO93" i="103"/>
  <c r="BO94" i="103"/>
  <c r="BO95" i="103"/>
  <c r="BO96" i="103"/>
  <c r="BO97" i="103"/>
  <c r="BO98" i="103"/>
  <c r="BO99" i="103"/>
  <c r="BO100" i="103"/>
  <c r="BO101" i="103"/>
  <c r="BO102" i="103"/>
  <c r="BO103" i="103"/>
  <c r="BO104" i="103"/>
  <c r="BO105" i="103"/>
  <c r="BO106" i="103"/>
  <c r="BO107" i="103"/>
  <c r="BO108" i="103"/>
  <c r="BO109" i="103"/>
  <c r="BO110" i="103"/>
  <c r="BO111" i="103"/>
  <c r="BO112" i="103"/>
  <c r="BO113" i="103"/>
  <c r="BO114" i="103"/>
  <c r="BO115" i="103"/>
  <c r="BN14" i="103"/>
  <c r="BN15" i="103"/>
  <c r="BN16" i="103"/>
  <c r="BN17" i="103"/>
  <c r="BN18" i="103"/>
  <c r="BN19" i="103"/>
  <c r="BN20"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15" i="103"/>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W106" i="105"/>
  <c r="BE51" i="105"/>
  <c r="BA51" i="105"/>
  <c r="BA46" i="105"/>
  <c r="BA42" i="105"/>
  <c r="BA38" i="105"/>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N20" i="103" l="1"/>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14" i="103"/>
  <c r="BM13" i="103"/>
  <c r="BN13" i="103" s="1"/>
  <c r="BP13" i="103" l="1"/>
  <c r="BP11" i="103" s="1"/>
  <c r="BO13" i="103"/>
  <c r="AU13"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E13" i="106" s="1"/>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P14" i="106"/>
  <c r="K14" i="106"/>
  <c r="AO14" i="106" s="1"/>
  <c r="AS14" i="106" s="1"/>
  <c r="J14" i="106"/>
  <c r="I14" i="106"/>
  <c r="H14" i="106"/>
  <c r="G14" i="106"/>
  <c r="BF14" i="106" s="1"/>
  <c r="B14" i="106"/>
  <c r="AA13" i="106"/>
  <c r="K13" i="106"/>
  <c r="AO13" i="106" s="1"/>
  <c r="AV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P13" i="106" l="1"/>
  <c r="AY13" i="106"/>
  <c r="AS18" i="106"/>
  <c r="AZ18" i="106"/>
  <c r="AM18" i="106"/>
  <c r="AO15" i="106"/>
  <c r="AZ14" i="106"/>
  <c r="N18" i="106"/>
  <c r="N18" i="103" s="1"/>
  <c r="BB13" i="106"/>
  <c r="P18" i="106"/>
  <c r="AY16" i="106"/>
  <c r="AS13" i="106"/>
  <c r="AV14" i="106"/>
  <c r="AW14" i="106" s="1"/>
  <c r="AY15" i="106"/>
  <c r="BB16" i="106"/>
  <c r="AZ13" i="106"/>
  <c r="AY14" i="106"/>
  <c r="BB15" i="106"/>
  <c r="AO17" i="106"/>
  <c r="AP17" i="106" s="1"/>
  <c r="AZ16" i="106"/>
  <c r="AK102" i="105"/>
  <c r="AK122" i="105"/>
  <c r="AK149" i="105" s="1"/>
  <c r="AK110" i="105"/>
  <c r="AK148" i="105" s="1"/>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24" i="106"/>
  <c r="AQ24" i="106" s="1"/>
  <c r="AE32" i="106"/>
  <c r="AQ32" i="106" s="1"/>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C22" i="106"/>
  <c r="AE36" i="106"/>
  <c r="AQ36" i="106" s="1"/>
  <c r="AO56" i="106"/>
  <c r="AY56" i="106"/>
  <c r="BB60" i="106"/>
  <c r="AO60" i="106"/>
  <c r="AO89" i="106"/>
  <c r="AY89" i="106"/>
  <c r="AE107" i="106"/>
  <c r="AQ107" i="106" s="1"/>
  <c r="BB110" i="106"/>
  <c r="AO110" i="106"/>
  <c r="AK5" i="106"/>
  <c r="AI10" i="106" s="1"/>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12" i="106"/>
  <c r="AR18" i="106"/>
  <c r="AP18" i="106"/>
  <c r="AV18" i="106"/>
  <c r="AR34" i="106"/>
  <c r="BG13" i="106"/>
  <c r="AK10" i="106" s="1"/>
  <c r="AW41" i="106"/>
  <c r="AW84" i="106"/>
  <c r="AW29" i="106"/>
  <c r="AW47" i="106"/>
  <c r="AW30" i="106"/>
  <c r="AW95" i="106"/>
  <c r="AV16" i="106"/>
  <c r="AP16" i="106"/>
  <c r="AR16"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R22" i="106"/>
  <c r="AP22" i="106"/>
  <c r="AR38" i="106"/>
  <c r="AP38" i="106"/>
  <c r="AV62" i="106"/>
  <c r="AR62" i="106"/>
  <c r="AP62" i="106"/>
  <c r="AW13" i="106"/>
  <c r="AR21" i="106"/>
  <c r="AR52" i="106"/>
  <c r="AP21" i="106"/>
  <c r="AR26" i="106"/>
  <c r="AQ26" i="106"/>
  <c r="AP26" i="106"/>
  <c r="AR42" i="106"/>
  <c r="AQ42" i="106"/>
  <c r="AP42" i="106"/>
  <c r="AP52" i="106"/>
  <c r="AR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P16" i="106"/>
  <c r="N16" i="106"/>
  <c r="N16" i="103" s="1"/>
  <c r="P21" i="106"/>
  <c r="AL26" i="106"/>
  <c r="AE28" i="106"/>
  <c r="AQ28" i="106" s="1"/>
  <c r="AL34" i="106"/>
  <c r="AE43" i="106"/>
  <c r="AQ43" i="106" s="1"/>
  <c r="AC43" i="106"/>
  <c r="AD43" i="106"/>
  <c r="AE46" i="106"/>
  <c r="AQ46" i="106" s="1"/>
  <c r="AC46" i="106"/>
  <c r="P17" i="106"/>
  <c r="AD22" i="106"/>
  <c r="P28" i="106"/>
  <c r="AC28" i="106" s="1"/>
  <c r="AE51" i="106"/>
  <c r="AQ51" i="106" s="1"/>
  <c r="AE56" i="106"/>
  <c r="AC56" i="106"/>
  <c r="N60" i="106"/>
  <c r="AE60" i="106"/>
  <c r="AQ60" i="106" s="1"/>
  <c r="P60" i="106"/>
  <c r="AC60" i="106" s="1"/>
  <c r="N21" i="106"/>
  <c r="AD21" i="106" s="1"/>
  <c r="AE22" i="106"/>
  <c r="AQ22" i="106" s="1"/>
  <c r="AE44" i="106"/>
  <c r="AQ44" i="106" s="1"/>
  <c r="AL50" i="106"/>
  <c r="AE35" i="106"/>
  <c r="AQ35" i="106" s="1"/>
  <c r="P39" i="106"/>
  <c r="N39" i="106"/>
  <c r="AE62" i="106"/>
  <c r="AQ62" i="106" s="1"/>
  <c r="P62" i="106"/>
  <c r="N62" i="106"/>
  <c r="AL18" i="106"/>
  <c r="AL19" i="106"/>
  <c r="N20" i="106"/>
  <c r="AD26" i="106"/>
  <c r="AE27" i="106"/>
  <c r="AQ27" i="106" s="1"/>
  <c r="P31" i="106"/>
  <c r="N31" i="106"/>
  <c r="AE39" i="106"/>
  <c r="AQ39" i="106" s="1"/>
  <c r="N49" i="106"/>
  <c r="P15" i="106"/>
  <c r="AE20" i="106"/>
  <c r="AQ20" i="106" s="1"/>
  <c r="P23" i="106"/>
  <c r="N23" i="106"/>
  <c r="AC25" i="106"/>
  <c r="AE31" i="106"/>
  <c r="AQ31" i="106" s="1"/>
  <c r="AL37" i="106"/>
  <c r="AE38" i="106"/>
  <c r="AQ38" i="106" s="1"/>
  <c r="AL47" i="106"/>
  <c r="N17" i="106"/>
  <c r="N17" i="103" s="1"/>
  <c r="N28" i="106"/>
  <c r="N13" i="106"/>
  <c r="N14" i="106"/>
  <c r="N14" i="103" s="1"/>
  <c r="P20" i="106"/>
  <c r="AD20" i="106" s="1"/>
  <c r="AE23" i="106"/>
  <c r="AQ23" i="106" s="1"/>
  <c r="AC26" i="106"/>
  <c r="AL29" i="106"/>
  <c r="AC30" i="106"/>
  <c r="AE30" i="106"/>
  <c r="AQ30" i="106" s="1"/>
  <c r="N36" i="106"/>
  <c r="AD36" i="106" s="1"/>
  <c r="P49" i="106"/>
  <c r="AC70" i="106"/>
  <c r="AL42" i="106"/>
  <c r="AE49" i="106"/>
  <c r="AQ49" i="106" s="1"/>
  <c r="AE65" i="106"/>
  <c r="P65" i="106"/>
  <c r="N65" i="106"/>
  <c r="P19" i="106"/>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S19" i="106" l="1"/>
  <c r="AZ19" i="106"/>
  <c r="AM19" i="106"/>
  <c r="AS15" i="106"/>
  <c r="AZ15" i="106"/>
  <c r="AR15" i="106"/>
  <c r="AS17" i="106"/>
  <c r="AZ17" i="106"/>
  <c r="N13" i="103"/>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Y98" i="103"/>
  <c r="AV98" i="103"/>
  <c r="AU98" i="103"/>
  <c r="AS98" i="103"/>
  <c r="AA98" i="103"/>
  <c r="L98" i="103"/>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Y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O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AE74" i="103" s="1"/>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B72" i="103"/>
  <c r="BA72" i="103"/>
  <c r="AV72" i="103"/>
  <c r="AU72" i="103"/>
  <c r="AS72" i="103"/>
  <c r="AA72" i="103"/>
  <c r="L72" i="103"/>
  <c r="K72" i="103"/>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Y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Y62" i="103"/>
  <c r="AV62" i="103"/>
  <c r="AU62" i="103"/>
  <c r="AS62" i="103"/>
  <c r="AA62" i="103"/>
  <c r="L62" i="103"/>
  <c r="K62" i="103"/>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B54" i="103"/>
  <c r="BA54" i="103"/>
  <c r="AV54" i="103"/>
  <c r="AU54" i="103"/>
  <c r="AS54" i="103"/>
  <c r="AA54" i="103"/>
  <c r="L54" i="103"/>
  <c r="K54" i="103"/>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O46" i="103"/>
  <c r="AA46" i="103"/>
  <c r="P46" i="103"/>
  <c r="L46" i="103"/>
  <c r="K46" i="103"/>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L42" i="103"/>
  <c r="K42" i="103"/>
  <c r="J42" i="103"/>
  <c r="I42" i="103"/>
  <c r="H42" i="103"/>
  <c r="G42" i="103"/>
  <c r="BI42" i="103" s="1"/>
  <c r="B42" i="103"/>
  <c r="BD41" i="103"/>
  <c r="BA41" i="103"/>
  <c r="AV41" i="103"/>
  <c r="AU41" i="103"/>
  <c r="AS41" i="103"/>
  <c r="L41" i="103"/>
  <c r="K41" i="103"/>
  <c r="J41" i="103"/>
  <c r="I41" i="103"/>
  <c r="H41" i="103"/>
  <c r="G41" i="103"/>
  <c r="BI41" i="103" s="1"/>
  <c r="B41" i="103"/>
  <c r="BD40" i="103"/>
  <c r="BA40" i="103"/>
  <c r="AV40" i="103"/>
  <c r="AU40" i="103"/>
  <c r="AS40" i="103"/>
  <c r="L40" i="103"/>
  <c r="K40" i="103"/>
  <c r="J40" i="103"/>
  <c r="I40" i="103"/>
  <c r="H40" i="103"/>
  <c r="G40" i="103"/>
  <c r="BI40" i="103" s="1"/>
  <c r="B40" i="103"/>
  <c r="BD39" i="103"/>
  <c r="BA39" i="103"/>
  <c r="AV39" i="103"/>
  <c r="AU39" i="103"/>
  <c r="AS39" i="103"/>
  <c r="L39" i="103"/>
  <c r="K39" i="103"/>
  <c r="BL39" i="103" s="1"/>
  <c r="J39" i="103"/>
  <c r="I39" i="103"/>
  <c r="H39" i="103"/>
  <c r="G39" i="103"/>
  <c r="BI39" i="103" s="1"/>
  <c r="B39" i="103"/>
  <c r="BD38" i="103"/>
  <c r="BA38" i="103"/>
  <c r="AV38" i="103"/>
  <c r="AU38" i="103"/>
  <c r="AS38" i="103"/>
  <c r="L38" i="103"/>
  <c r="K38" i="103"/>
  <c r="BL38" i="103" s="1"/>
  <c r="J38" i="103"/>
  <c r="I38" i="103"/>
  <c r="H38" i="103"/>
  <c r="G38" i="103"/>
  <c r="BI38" i="103" s="1"/>
  <c r="B38" i="103"/>
  <c r="BD37" i="103"/>
  <c r="BA37" i="103"/>
  <c r="AV37" i="103"/>
  <c r="AU37" i="103"/>
  <c r="AS37" i="103"/>
  <c r="L37" i="103"/>
  <c r="K37" i="103"/>
  <c r="BL37" i="103" s="1"/>
  <c r="J37" i="103"/>
  <c r="I37" i="103"/>
  <c r="H37" i="103"/>
  <c r="G37" i="103"/>
  <c r="BI37" i="103" s="1"/>
  <c r="B37" i="103"/>
  <c r="BD36" i="103"/>
  <c r="BB36" i="103"/>
  <c r="BA36" i="103"/>
  <c r="AV36" i="103"/>
  <c r="AU36" i="103"/>
  <c r="AS36" i="103"/>
  <c r="AO36" i="103"/>
  <c r="L36" i="103"/>
  <c r="K36" i="103"/>
  <c r="BL36" i="103" s="1"/>
  <c r="J36" i="103"/>
  <c r="I36" i="103"/>
  <c r="H36" i="103"/>
  <c r="G36" i="103"/>
  <c r="BI36" i="103" s="1"/>
  <c r="B36" i="103"/>
  <c r="BD35" i="103"/>
  <c r="BA35" i="103"/>
  <c r="AV35" i="103"/>
  <c r="AU35" i="103"/>
  <c r="AS35" i="103"/>
  <c r="L35" i="103"/>
  <c r="K35" i="103"/>
  <c r="BL35" i="103" s="1"/>
  <c r="J35" i="103"/>
  <c r="I35" i="103"/>
  <c r="H35" i="103"/>
  <c r="G35" i="103"/>
  <c r="BI35" i="103" s="1"/>
  <c r="B35" i="103"/>
  <c r="BD34" i="103"/>
  <c r="BA34" i="103"/>
  <c r="AV34" i="103"/>
  <c r="AU34" i="103"/>
  <c r="AS34" i="103"/>
  <c r="L34" i="103"/>
  <c r="K34" i="103"/>
  <c r="BL34" i="103" s="1"/>
  <c r="J34" i="103"/>
  <c r="I34" i="103"/>
  <c r="H34" i="103"/>
  <c r="G34" i="103"/>
  <c r="BI34" i="103" s="1"/>
  <c r="B34" i="103"/>
  <c r="BD33" i="103"/>
  <c r="BA33" i="103"/>
  <c r="AV33" i="103"/>
  <c r="AU33" i="103"/>
  <c r="AS33" i="103"/>
  <c r="P33" i="103"/>
  <c r="L33" i="103"/>
  <c r="K33" i="103"/>
  <c r="AY33" i="103" s="1"/>
  <c r="J33" i="103"/>
  <c r="I33" i="103"/>
  <c r="H33" i="103"/>
  <c r="G33" i="103"/>
  <c r="BI33" i="103" s="1"/>
  <c r="B33" i="103"/>
  <c r="BD32" i="103"/>
  <c r="BA32" i="103"/>
  <c r="AV32" i="103"/>
  <c r="AU32" i="103"/>
  <c r="AS32" i="103"/>
  <c r="L32" i="103"/>
  <c r="K32" i="103"/>
  <c r="J32" i="103"/>
  <c r="I32" i="103"/>
  <c r="H32" i="103"/>
  <c r="G32" i="103"/>
  <c r="BI32" i="103" s="1"/>
  <c r="B32" i="103"/>
  <c r="BD31" i="103"/>
  <c r="BA31" i="103"/>
  <c r="AV31" i="103"/>
  <c r="AU31" i="103"/>
  <c r="AS31" i="103"/>
  <c r="L31" i="103"/>
  <c r="K31" i="103"/>
  <c r="J31" i="103"/>
  <c r="I31" i="103"/>
  <c r="H31" i="103"/>
  <c r="G31" i="103"/>
  <c r="BI31" i="103" s="1"/>
  <c r="B31" i="103"/>
  <c r="BD30" i="103"/>
  <c r="BA30" i="103"/>
  <c r="AV30" i="103"/>
  <c r="AU30" i="103"/>
  <c r="AS30" i="103"/>
  <c r="L30" i="103"/>
  <c r="K30" i="103"/>
  <c r="BL30" i="103" s="1"/>
  <c r="J30" i="103"/>
  <c r="I30" i="103"/>
  <c r="H30" i="103"/>
  <c r="G30" i="103"/>
  <c r="BI30" i="103" s="1"/>
  <c r="B30" i="103"/>
  <c r="BD29" i="103"/>
  <c r="BA29" i="103"/>
  <c r="AV29" i="103"/>
  <c r="AU29" i="103"/>
  <c r="AS29" i="103"/>
  <c r="AO29" i="103"/>
  <c r="L29" i="103"/>
  <c r="K29" i="103"/>
  <c r="BL29" i="103" s="1"/>
  <c r="J29" i="103"/>
  <c r="I29" i="103"/>
  <c r="H29" i="103"/>
  <c r="G29" i="103"/>
  <c r="BI29" i="103" s="1"/>
  <c r="B29" i="103"/>
  <c r="BI28" i="103"/>
  <c r="BD28" i="103"/>
  <c r="BA28" i="103"/>
  <c r="AV28" i="103"/>
  <c r="AU28" i="103"/>
  <c r="AS28" i="103"/>
  <c r="L28" i="103"/>
  <c r="K28" i="103"/>
  <c r="J28" i="103"/>
  <c r="I28" i="103"/>
  <c r="H28" i="103"/>
  <c r="G28" i="103"/>
  <c r="B28" i="103"/>
  <c r="BD27" i="103"/>
  <c r="BB27" i="103"/>
  <c r="BA27" i="103"/>
  <c r="AV27" i="103"/>
  <c r="AU27" i="103"/>
  <c r="AS27" i="103"/>
  <c r="L27" i="103"/>
  <c r="K27" i="103"/>
  <c r="BL27" i="103" s="1"/>
  <c r="J27" i="103"/>
  <c r="I27" i="103"/>
  <c r="H27" i="103"/>
  <c r="G27" i="103"/>
  <c r="BI27" i="103" s="1"/>
  <c r="B27" i="103"/>
  <c r="BD26" i="103"/>
  <c r="BA26" i="103"/>
  <c r="AV26" i="103"/>
  <c r="AU26" i="103"/>
  <c r="AS26" i="103"/>
  <c r="L26" i="103"/>
  <c r="K26" i="103"/>
  <c r="BL26" i="103" s="1"/>
  <c r="J26" i="103"/>
  <c r="I26" i="103"/>
  <c r="H26" i="103"/>
  <c r="G26" i="103"/>
  <c r="BI26" i="103" s="1"/>
  <c r="B26" i="103"/>
  <c r="BD25" i="103"/>
  <c r="BA25" i="103"/>
  <c r="AV25" i="103"/>
  <c r="AU25" i="103"/>
  <c r="AS25" i="103"/>
  <c r="L25" i="103"/>
  <c r="K25" i="103"/>
  <c r="J25" i="103"/>
  <c r="I25" i="103"/>
  <c r="H25" i="103"/>
  <c r="G25" i="103"/>
  <c r="BI25" i="103" s="1"/>
  <c r="B25" i="103"/>
  <c r="BD24" i="103"/>
  <c r="BA24" i="103"/>
  <c r="AV24" i="103"/>
  <c r="AU24" i="103"/>
  <c r="AS24" i="103"/>
  <c r="L24" i="103"/>
  <c r="K24" i="103"/>
  <c r="J24" i="103"/>
  <c r="I24" i="103"/>
  <c r="H24" i="103"/>
  <c r="G24" i="103"/>
  <c r="BI24" i="103" s="1"/>
  <c r="B24" i="103"/>
  <c r="BD23" i="103"/>
  <c r="BA23" i="103"/>
  <c r="AV23" i="103"/>
  <c r="AU23" i="103"/>
  <c r="AS23" i="103"/>
  <c r="L23" i="103"/>
  <c r="K23" i="103"/>
  <c r="J23" i="103"/>
  <c r="I23" i="103"/>
  <c r="H23" i="103"/>
  <c r="G23" i="103"/>
  <c r="BI23" i="103" s="1"/>
  <c r="B23" i="103"/>
  <c r="BD22" i="103"/>
  <c r="BA22" i="103"/>
  <c r="AV22" i="103"/>
  <c r="AU22" i="103"/>
  <c r="AS22" i="103"/>
  <c r="P22" i="103"/>
  <c r="AD22" i="103" s="1"/>
  <c r="L22" i="103"/>
  <c r="AE22" i="103" s="1"/>
  <c r="K22" i="103"/>
  <c r="J22" i="103"/>
  <c r="I22" i="103"/>
  <c r="H22" i="103"/>
  <c r="G22" i="103"/>
  <c r="BI22" i="103" s="1"/>
  <c r="B22" i="103"/>
  <c r="BD21" i="103"/>
  <c r="BA21" i="103"/>
  <c r="AV21" i="103"/>
  <c r="AU21" i="103"/>
  <c r="AS21" i="103"/>
  <c r="L21" i="103"/>
  <c r="K21" i="103"/>
  <c r="BL21" i="103" s="1"/>
  <c r="J21" i="103"/>
  <c r="I21" i="103"/>
  <c r="H21" i="103"/>
  <c r="G21" i="103"/>
  <c r="BI21" i="103" s="1"/>
  <c r="B21" i="103"/>
  <c r="BD20" i="103"/>
  <c r="BA20" i="103"/>
  <c r="AV20" i="103"/>
  <c r="AU20" i="103"/>
  <c r="AS20" i="103"/>
  <c r="L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BL15" i="103" s="1"/>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K1" i="103"/>
  <c r="AI10" i="103" l="1"/>
  <c r="AK46" i="105" s="1"/>
  <c r="O10" i="103"/>
  <c r="AP28" i="103"/>
  <c r="BL28" i="103"/>
  <c r="AZ36" i="103"/>
  <c r="BC36" i="103"/>
  <c r="AE47" i="103"/>
  <c r="AE68" i="103"/>
  <c r="AP76" i="103"/>
  <c r="BL76" i="103"/>
  <c r="AP82" i="103"/>
  <c r="BL82" i="103"/>
  <c r="BB103" i="103"/>
  <c r="AE104" i="103"/>
  <c r="AP49" i="103"/>
  <c r="BL49" i="103"/>
  <c r="AP52" i="103"/>
  <c r="BL52" i="103"/>
  <c r="BC56" i="103"/>
  <c r="AZ56" i="103"/>
  <c r="AP58" i="103"/>
  <c r="BL58" i="103"/>
  <c r="AP79" i="103"/>
  <c r="BL79" i="103"/>
  <c r="AO100" i="103"/>
  <c r="BL100" i="103"/>
  <c r="AP42" i="103"/>
  <c r="BL42" i="103"/>
  <c r="AE45" i="103"/>
  <c r="AZ46" i="103"/>
  <c r="BC46" i="103"/>
  <c r="AT88" i="103"/>
  <c r="AZ88" i="103"/>
  <c r="BC88" i="103"/>
  <c r="AE106" i="103"/>
  <c r="AP40" i="103"/>
  <c r="BL40" i="103"/>
  <c r="P19" i="103"/>
  <c r="AP23" i="103"/>
  <c r="BL23" i="103"/>
  <c r="AP25" i="103"/>
  <c r="BL25" i="103"/>
  <c r="AP32" i="103"/>
  <c r="BL32" i="103"/>
  <c r="AO40" i="103"/>
  <c r="BB44" i="103"/>
  <c r="BL44" i="103"/>
  <c r="AP54" i="103"/>
  <c r="BL54" i="103"/>
  <c r="AO63" i="103"/>
  <c r="BL63" i="103"/>
  <c r="AO72" i="103"/>
  <c r="BL72" i="103"/>
  <c r="AO81" i="103"/>
  <c r="BL81" i="103"/>
  <c r="P87" i="103"/>
  <c r="AP99" i="103"/>
  <c r="BL99" i="103"/>
  <c r="P106" i="103"/>
  <c r="AO110" i="103"/>
  <c r="P30" i="103"/>
  <c r="AP48" i="103"/>
  <c r="BL48" i="103"/>
  <c r="AE51" i="103"/>
  <c r="AE54" i="103"/>
  <c r="AE60" i="103"/>
  <c r="AE63" i="103"/>
  <c r="AP66" i="103"/>
  <c r="BL66" i="103"/>
  <c r="AP69" i="103"/>
  <c r="BL69" i="103"/>
  <c r="AE72" i="103"/>
  <c r="AO92" i="103"/>
  <c r="BL92" i="103"/>
  <c r="BB98" i="103"/>
  <c r="AE99" i="103"/>
  <c r="AP105" i="103"/>
  <c r="BL105" i="103"/>
  <c r="AP108" i="103"/>
  <c r="BL108" i="103"/>
  <c r="AE35" i="103"/>
  <c r="AP62" i="103"/>
  <c r="BL62" i="103"/>
  <c r="BB65" i="103"/>
  <c r="AP77" i="103"/>
  <c r="BL77" i="103"/>
  <c r="AP89" i="103"/>
  <c r="BL89" i="103"/>
  <c r="AE98" i="103"/>
  <c r="AE108" i="103"/>
  <c r="AP20" i="103"/>
  <c r="BL20" i="103"/>
  <c r="AO22" i="103"/>
  <c r="BL22" i="103"/>
  <c r="AY35" i="103"/>
  <c r="BB38" i="103"/>
  <c r="AP41" i="103"/>
  <c r="BL41" i="103"/>
  <c r="AP43" i="103"/>
  <c r="BL43" i="103"/>
  <c r="AO44" i="103"/>
  <c r="AP46" i="103"/>
  <c r="BL46" i="103"/>
  <c r="AY46" i="103"/>
  <c r="AP50" i="103"/>
  <c r="BL50" i="103"/>
  <c r="AP53" i="103"/>
  <c r="BL53" i="103"/>
  <c r="AP56" i="103"/>
  <c r="BL56" i="103"/>
  <c r="AP59" i="103"/>
  <c r="BL59" i="103"/>
  <c r="AE65" i="103"/>
  <c r="AP74" i="103"/>
  <c r="BL74" i="103"/>
  <c r="AO78" i="103"/>
  <c r="AP24" i="103"/>
  <c r="BL24" i="103"/>
  <c r="AZ29" i="103"/>
  <c r="BC29" i="103"/>
  <c r="AP31" i="103"/>
  <c r="BL31" i="103"/>
  <c r="AP33" i="103"/>
  <c r="BL33" i="103"/>
  <c r="AE43" i="103"/>
  <c r="AE46" i="103"/>
  <c r="AY67" i="103"/>
  <c r="AP91" i="103"/>
  <c r="BL91" i="103"/>
  <c r="AP97" i="103"/>
  <c r="BL97" i="103"/>
  <c r="AY100" i="103"/>
  <c r="AO104" i="103"/>
  <c r="BL104" i="103"/>
  <c r="AP107" i="103"/>
  <c r="BL107" i="103"/>
  <c r="AO14" i="103"/>
  <c r="AX14" i="103" s="1"/>
  <c r="BL14" i="103"/>
  <c r="AP16" i="103"/>
  <c r="BL16" i="103"/>
  <c r="AP17" i="103"/>
  <c r="BL17" i="103"/>
  <c r="AP13" i="103"/>
  <c r="BL13" i="103"/>
  <c r="BB19" i="103"/>
  <c r="AX22" i="103"/>
  <c r="AT22" i="103"/>
  <c r="AT81" i="103"/>
  <c r="AT100" i="103"/>
  <c r="AR72" i="103"/>
  <c r="AT72" i="103"/>
  <c r="AT92" i="103"/>
  <c r="AT63" i="103"/>
  <c r="AE29" i="103"/>
  <c r="AQ29" i="103" s="1"/>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44" i="103"/>
  <c r="AY13" i="103"/>
  <c r="AE20" i="103"/>
  <c r="AO21" i="103"/>
  <c r="AE30" i="103"/>
  <c r="AE34" i="103"/>
  <c r="AQ34" i="103" s="1"/>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E81" i="103"/>
  <c r="BB84" i="103"/>
  <c r="AO85" i="103"/>
  <c r="AP85" i="103"/>
  <c r="AY87" i="103"/>
  <c r="P90" i="103"/>
  <c r="BB90" i="103"/>
  <c r="AE93" i="103"/>
  <c r="BB96" i="103"/>
  <c r="AP100" i="103"/>
  <c r="AE102" i="103"/>
  <c r="AO103" i="103"/>
  <c r="AP103" i="103"/>
  <c r="AY106" i="103"/>
  <c r="AP111" i="103"/>
  <c r="AX46" i="103"/>
  <c r="AT46" i="103"/>
  <c r="AE24" i="103"/>
  <c r="AY28" i="103"/>
  <c r="AE31" i="103"/>
  <c r="AE36" i="103"/>
  <c r="AQ36" i="103" s="1"/>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X15" i="103" s="1"/>
  <c r="AP15" i="103"/>
  <c r="AY21" i="103"/>
  <c r="AE25" i="103"/>
  <c r="AE32" i="103"/>
  <c r="AE40" i="103"/>
  <c r="AQ40" i="103" s="1"/>
  <c r="AE42" i="103"/>
  <c r="P45" i="103"/>
  <c r="AC45" i="103" s="1"/>
  <c r="AE53" i="103"/>
  <c r="AY60" i="103"/>
  <c r="AP60" i="103"/>
  <c r="AP63" i="103"/>
  <c r="AE66" i="103"/>
  <c r="AE71" i="103"/>
  <c r="AY72" i="103"/>
  <c r="AP72" i="103"/>
  <c r="AE76" i="103"/>
  <c r="AO77" i="103"/>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P57" i="103"/>
  <c r="BB61" i="103"/>
  <c r="AP61" i="103"/>
  <c r="AO62" i="103"/>
  <c r="AP67" i="103"/>
  <c r="BB76" i="103"/>
  <c r="P81" i="103"/>
  <c r="AD81" i="103" s="1"/>
  <c r="AE92" i="103"/>
  <c r="AQ92" i="103" s="1"/>
  <c r="BB95" i="103"/>
  <c r="AP95" i="103"/>
  <c r="AO96" i="103"/>
  <c r="AX34" i="103"/>
  <c r="AL34" i="103"/>
  <c r="AX90" i="103"/>
  <c r="AL90"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Y43" i="103"/>
  <c r="P43" i="103"/>
  <c r="AD43" i="103" s="1"/>
  <c r="AO43" i="103"/>
  <c r="BB43" i="103"/>
  <c r="AO13" i="103"/>
  <c r="BB14" i="103"/>
  <c r="P15" i="103"/>
  <c r="AL28" i="103"/>
  <c r="AR28" i="103"/>
  <c r="AX103" i="103"/>
  <c r="AL103" i="103"/>
  <c r="AR103" i="103"/>
  <c r="BB15" i="103"/>
  <c r="AH10" i="103"/>
  <c r="AK42" i="105" s="1"/>
  <c r="AK140" i="105" s="1"/>
  <c r="AL14" i="103"/>
  <c r="AR14" i="103"/>
  <c r="AL15" i="103"/>
  <c r="AY17" i="103"/>
  <c r="P17" i="103"/>
  <c r="AO17" i="103"/>
  <c r="BB17" i="103"/>
  <c r="AY18" i="103"/>
  <c r="P18" i="103"/>
  <c r="AY26" i="103"/>
  <c r="P26" i="103"/>
  <c r="AC26" i="103" s="1"/>
  <c r="AO26" i="103"/>
  <c r="AD27" i="103"/>
  <c r="AC27" i="103"/>
  <c r="AQ35" i="103"/>
  <c r="AD21" i="103"/>
  <c r="AC21" i="103"/>
  <c r="AQ44" i="103"/>
  <c r="BB13" i="103"/>
  <c r="AL21" i="103"/>
  <c r="AR21" i="103"/>
  <c r="AY25" i="103"/>
  <c r="P25" i="103"/>
  <c r="AO25" i="103"/>
  <c r="BB25" i="103"/>
  <c r="AD26"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P35" i="103"/>
  <c r="AD35" i="103" s="1"/>
  <c r="BB37" i="103"/>
  <c r="AC38" i="103"/>
  <c r="AY50" i="103"/>
  <c r="P50" i="103"/>
  <c r="AD50" i="103" s="1"/>
  <c r="AO50" i="103"/>
  <c r="BB50" i="103"/>
  <c r="AY52" i="103"/>
  <c r="BB52" i="103"/>
  <c r="P52" i="103"/>
  <c r="AC52" i="103" s="1"/>
  <c r="AO52" i="103"/>
  <c r="P69" i="103"/>
  <c r="AD69" i="103" s="1"/>
  <c r="AO69" i="103"/>
  <c r="BB69" i="103"/>
  <c r="AY69" i="103"/>
  <c r="AL22" i="103"/>
  <c r="AX36" i="103"/>
  <c r="AD37" i="103"/>
  <c r="AL37" i="103"/>
  <c r="P16" i="103"/>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BB79" i="103"/>
  <c r="BB83" i="103"/>
  <c r="P83" i="103"/>
  <c r="AD83" i="103" s="1"/>
  <c r="AO83" i="103"/>
  <c r="AQ83" i="103"/>
  <c r="AX89" i="103"/>
  <c r="AO58" i="103"/>
  <c r="AO66" i="103"/>
  <c r="P67" i="103"/>
  <c r="AQ71" i="103"/>
  <c r="AO75" i="103"/>
  <c r="AY75" i="103"/>
  <c r="AQ80" i="103"/>
  <c r="AD80" i="103"/>
  <c r="AR81" i="103"/>
  <c r="AR94" i="103"/>
  <c r="AX94" i="103"/>
  <c r="AL94" i="103"/>
  <c r="AQ104" i="103"/>
  <c r="AC104" i="103"/>
  <c r="AD104" i="103"/>
  <c r="BB55" i="103"/>
  <c r="P58" i="103"/>
  <c r="BB63" i="103"/>
  <c r="P66" i="103"/>
  <c r="AC68" i="103"/>
  <c r="AY68" i="103"/>
  <c r="AL71" i="103"/>
  <c r="AD75" i="103"/>
  <c r="AC75" i="103"/>
  <c r="AL77" i="103"/>
  <c r="AR88" i="103"/>
  <c r="AX88" i="103"/>
  <c r="AL88" i="103"/>
  <c r="AD98" i="103"/>
  <c r="AC98" i="103"/>
  <c r="AX71" i="103"/>
  <c r="AD79" i="103"/>
  <c r="AC79"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75" i="103" l="1"/>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Q89" i="103"/>
  <c r="AT64" i="103"/>
  <c r="BC64" i="103"/>
  <c r="AZ64" i="103"/>
  <c r="AZ63" i="103"/>
  <c r="BC63" i="103"/>
  <c r="BE88" i="103"/>
  <c r="BG88" i="103" s="1"/>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BE29" i="103"/>
  <c r="BG29" i="103" s="1"/>
  <c r="AT66" i="103"/>
  <c r="BC66" i="103"/>
  <c r="AZ66" i="103"/>
  <c r="AZ87" i="103"/>
  <c r="BC87" i="103"/>
  <c r="AL20" i="103"/>
  <c r="AZ20" i="103"/>
  <c r="BC20" i="103"/>
  <c r="BE20" i="103" s="1"/>
  <c r="BG20" i="103" s="1"/>
  <c r="AZ45" i="103"/>
  <c r="BC45" i="103"/>
  <c r="AT37" i="103"/>
  <c r="AZ37" i="103"/>
  <c r="BC37" i="103"/>
  <c r="AT57" i="103"/>
  <c r="BC57" i="103"/>
  <c r="AZ57" i="103"/>
  <c r="AQ21" i="103"/>
  <c r="AZ28" i="103"/>
  <c r="BC28" i="103"/>
  <c r="BE46" i="103"/>
  <c r="BG46" i="103" s="1"/>
  <c r="AT111" i="103"/>
  <c r="AZ111" i="103"/>
  <c r="BC111" i="103"/>
  <c r="AZ91" i="103"/>
  <c r="BC91" i="103"/>
  <c r="AT58" i="103"/>
  <c r="BC58" i="103"/>
  <c r="AZ58" i="103"/>
  <c r="AT79" i="103"/>
  <c r="AZ79" i="103"/>
  <c r="BC79" i="103"/>
  <c r="BC113" i="103"/>
  <c r="AZ113" i="103"/>
  <c r="AZ94" i="103"/>
  <c r="BC94" i="103"/>
  <c r="AT106" i="103"/>
  <c r="BC106" i="103"/>
  <c r="AZ106" i="103"/>
  <c r="AT98" i="103"/>
  <c r="BC98" i="103"/>
  <c r="AZ98" i="103"/>
  <c r="AZ55" i="103"/>
  <c r="BC55" i="103"/>
  <c r="AZ101" i="103"/>
  <c r="BC101" i="103"/>
  <c r="AT14" i="103"/>
  <c r="BC81" i="103"/>
  <c r="AZ81" i="103"/>
  <c r="BG36" i="103"/>
  <c r="BE36" i="103"/>
  <c r="BC42" i="103"/>
  <c r="AZ42" i="103"/>
  <c r="AT33" i="103"/>
  <c r="BC33" i="103"/>
  <c r="AZ33" i="103"/>
  <c r="AR95" i="103"/>
  <c r="AZ95" i="103"/>
  <c r="BC95" i="103"/>
  <c r="AT105" i="103"/>
  <c r="BC105" i="103"/>
  <c r="AZ105" i="103"/>
  <c r="AT103" i="103"/>
  <c r="AZ103" i="103"/>
  <c r="BC103" i="103"/>
  <c r="AT68" i="103"/>
  <c r="AZ68" i="103"/>
  <c r="BC68" i="103"/>
  <c r="AT35" i="103"/>
  <c r="AZ35" i="103"/>
  <c r="BC35" i="103"/>
  <c r="AQ37"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Q32"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Q106" i="103"/>
  <c r="AT38" i="103"/>
  <c r="AZ38" i="103"/>
  <c r="BC38" i="103"/>
  <c r="AT112" i="103"/>
  <c r="BC112" i="103"/>
  <c r="AZ112" i="103"/>
  <c r="AR77" i="103"/>
  <c r="BC96" i="103"/>
  <c r="AZ96" i="103"/>
  <c r="AZ62" i="103"/>
  <c r="BC62" i="103"/>
  <c r="AQ57"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c r="BE98" i="103"/>
  <c r="BG98" i="103" s="1"/>
  <c r="BH98" i="103" s="1"/>
  <c r="BE113" i="103"/>
  <c r="BG113" i="103" s="1"/>
  <c r="BH113" i="103" s="1"/>
  <c r="BE96" i="103"/>
  <c r="BE102" i="103"/>
  <c r="BG102" i="103"/>
  <c r="BE110" i="103"/>
  <c r="BG110" i="103"/>
  <c r="BE41" i="103"/>
  <c r="BG41" i="103" s="1"/>
  <c r="BE81" i="103"/>
  <c r="BE79" i="103"/>
  <c r="BG79" i="103"/>
  <c r="BE111" i="103"/>
  <c r="BG111" i="103"/>
  <c r="BE24" i="103"/>
  <c r="BG24" i="103" s="1"/>
  <c r="BH24" i="103" s="1"/>
  <c r="BE92" i="103"/>
  <c r="BE30" i="103"/>
  <c r="BG30" i="103"/>
  <c r="BE60" i="103"/>
  <c r="BG60" i="103" s="1"/>
  <c r="BE63" i="103"/>
  <c r="BG63" i="103"/>
  <c r="BE47" i="103"/>
  <c r="BG47" i="103"/>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c r="BE93" i="103"/>
  <c r="BG93" i="103" s="1"/>
  <c r="BH93" i="103" s="1"/>
  <c r="BE84" i="103"/>
  <c r="BG84" i="103" s="1"/>
  <c r="BE78" i="103"/>
  <c r="BG78" i="103"/>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c r="BE76" i="103"/>
  <c r="BG76" i="103" s="1"/>
  <c r="BE105" i="103"/>
  <c r="BG105" i="103" s="1"/>
  <c r="BH105" i="103" s="1"/>
  <c r="BE37" i="103"/>
  <c r="BE87" i="103"/>
  <c r="BG87" i="103"/>
  <c r="BE26" i="103"/>
  <c r="BG26" i="103" s="1"/>
  <c r="BE109" i="103"/>
  <c r="BG109" i="103" s="1"/>
  <c r="BE31" i="103"/>
  <c r="BG31" i="103"/>
  <c r="BE99" i="103"/>
  <c r="BG99" i="103" s="1"/>
  <c r="BE64" i="103"/>
  <c r="BG64" i="103" s="1"/>
  <c r="BH64" i="103" s="1"/>
  <c r="BE71" i="103"/>
  <c r="BG71" i="103"/>
  <c r="BE75" i="103"/>
  <c r="BG75" i="103" s="1"/>
  <c r="BE23" i="103"/>
  <c r="BG23" i="103"/>
  <c r="BE68" i="103"/>
  <c r="BG68" i="103" s="1"/>
  <c r="BH68" i="103" s="1"/>
  <c r="BE42" i="103"/>
  <c r="BG42" i="103" s="1"/>
  <c r="BE55" i="103"/>
  <c r="BG55" i="103"/>
  <c r="BE94" i="103"/>
  <c r="BG94" i="103"/>
  <c r="BH94" i="103" s="1"/>
  <c r="BE58" i="103"/>
  <c r="BG58" i="103" s="1"/>
  <c r="BE67" i="103"/>
  <c r="BG67" i="103" s="1"/>
  <c r="BH67" i="103" s="1"/>
  <c r="BE54" i="103"/>
  <c r="BG54" i="103"/>
  <c r="BE89" i="103"/>
  <c r="BG89" i="103" s="1"/>
  <c r="BE62" i="103"/>
  <c r="BG62" i="103"/>
  <c r="BE38" i="103"/>
  <c r="BG38" i="103"/>
  <c r="BE82" i="103"/>
  <c r="BG82" i="103" s="1"/>
  <c r="BE107" i="103"/>
  <c r="BG107" i="103" s="1"/>
  <c r="BE85" i="103"/>
  <c r="BE61" i="103"/>
  <c r="BG61" i="103" s="1"/>
  <c r="BE104" i="103"/>
  <c r="BE95" i="103"/>
  <c r="BG95" i="103"/>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AK141" i="105" s="1"/>
  <c r="BE38" i="105"/>
  <c r="AI61" i="105" s="1"/>
  <c r="BE42" i="105"/>
  <c r="BH29" i="103"/>
  <c r="BH71" i="103"/>
  <c r="BH20" i="103"/>
  <c r="BH88" i="103"/>
  <c r="BH62" i="103"/>
  <c r="BH110" i="103"/>
  <c r="BH38" i="103"/>
  <c r="BH46" i="103"/>
  <c r="BH36" i="103"/>
  <c r="BH56" i="103"/>
  <c r="BH78" i="103"/>
  <c r="BH70" i="103"/>
  <c r="BH30" i="103"/>
  <c r="BH47" i="103"/>
  <c r="BH103" i="103"/>
  <c r="BH21" i="103"/>
  <c r="BH22" i="103"/>
  <c r="BH89" i="103" l="1"/>
  <c r="BH48" i="103"/>
  <c r="BH106" i="103"/>
  <c r="BG85" i="103"/>
  <c r="BH85" i="103" s="1"/>
  <c r="BH63" i="103"/>
  <c r="BG101" i="103"/>
  <c r="BH101" i="103" s="1"/>
  <c r="BG77" i="103"/>
  <c r="BH77" i="103" s="1"/>
  <c r="BH37" i="103"/>
  <c r="BH44" i="103"/>
  <c r="BG104" i="103"/>
  <c r="BH104" i="103" s="1"/>
  <c r="BH54" i="103"/>
  <c r="BH55" i="103"/>
  <c r="BG37" i="103"/>
  <c r="BG44" i="103"/>
  <c r="BG100" i="103"/>
  <c r="BH100" i="103" s="1"/>
  <c r="BH81" i="103"/>
  <c r="BH96" i="103"/>
  <c r="BG92" i="103"/>
  <c r="BH92" i="103" s="1"/>
  <c r="BG81" i="103"/>
  <c r="BG96" i="103"/>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4" i="106" l="1"/>
  <c r="L14" i="103"/>
  <c r="L19" i="106"/>
  <c r="L19" i="103"/>
  <c r="L13" i="106"/>
  <c r="L13" i="103"/>
  <c r="L18" i="106"/>
  <c r="L18" i="103"/>
  <c r="L15" i="106"/>
  <c r="L15" i="103"/>
  <c r="L17" i="106"/>
  <c r="L17" i="103"/>
  <c r="AE18" i="103" l="1"/>
  <c r="AQ18" i="103" s="1"/>
  <c r="AM18" i="103" s="1"/>
  <c r="AC18" i="103"/>
  <c r="AD18" i="103"/>
  <c r="AE14" i="103"/>
  <c r="AQ14" i="103" s="1"/>
  <c r="AM14" i="103" s="1"/>
  <c r="AC14" i="103"/>
  <c r="AD14" i="103"/>
  <c r="AC13" i="103"/>
  <c r="BO11" i="103"/>
  <c r="BO10" i="103" s="1"/>
  <c r="W105" i="105" s="1"/>
  <c r="AC105" i="105" s="1"/>
  <c r="AE13" i="103"/>
  <c r="L7" i="103" s="1"/>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L6" i="103" l="1"/>
  <c r="N6" i="103"/>
  <c r="AQ13" i="103"/>
  <c r="L7" i="106"/>
  <c r="K6" i="103"/>
  <c r="L5" i="106"/>
  <c r="AQ13"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M13" i="106" l="1"/>
  <c r="AE10" i="106"/>
  <c r="L6" i="106" s="1"/>
  <c r="AM13" i="103"/>
  <c r="AE10" i="103"/>
  <c r="Q17" i="105"/>
  <c r="Q21" i="105" s="1"/>
  <c r="Y21" i="105" s="1"/>
  <c r="AA21" i="105" s="1"/>
  <c r="Q16" i="105"/>
  <c r="Y18" i="105" s="1"/>
  <c r="AK135" i="105" s="1"/>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K7" i="103"/>
  <c r="T31" i="105" s="1"/>
  <c r="AB31" i="105" s="1"/>
  <c r="AK138" i="10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<sst xmlns="http://schemas.openxmlformats.org/spreadsheetml/2006/main" count="7408" uniqueCount="2510">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</sst>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3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4" fillId="28" borderId="50" xfId="0" applyFont="1" applyFill="1" applyBorder="1" applyAlignment="1" applyProtection="1">
      <alignment horizontal="center" vertical="center" wrapText="1"/>
      <protection locked="0"/>
    </xf>
    <xf numFmtId="0" fontId="41" fillId="0" borderId="177" xfId="0" applyFont="1" applyBorder="1" applyAlignment="1" applyProtection="1">
      <alignment horizontal="center" vertical="center" wrapText="1"/>
      <protection locked="0"/>
    </xf>
    <xf numFmtId="0" fontId="44" fillId="25" borderId="73" xfId="0" applyFont="1" applyFill="1" applyBorder="1" applyAlignment="1" applyProtection="1">
      <alignment horizontal="center" vertical="center"/>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center" wrapText="1"/>
    </xf>
    <xf numFmtId="0" fontId="111" fillId="29" borderId="0" xfId="0" applyFont="1" applyFill="1" applyAlignment="1">
      <alignment horizontal="center" vertical="center"/>
    </xf>
    <xf numFmtId="0" fontId="66" fillId="29" borderId="0" xfId="0" applyFont="1" applyFill="1" applyAlignment="1">
      <alignment horizontal="center" vertical="center"/>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2"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0" fontId="49" fillId="24" borderId="29"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66" fillId="0" borderId="10" xfId="0" applyFont="1" applyBorder="1" applyAlignment="1">
      <alignment horizontal="center" vertical="center"/>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center"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29"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39" fillId="24" borderId="42" xfId="0" applyFont="1" applyFill="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31" xfId="0" applyFont="1" applyFill="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16763" y="26226977"/>
              <a:ext cx="143392"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16763" y="12131453"/>
              <a:ext cx="143392"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16763" y="6564128"/>
              <a:ext cx="143392" cy="42161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16763" y="25091171"/>
              <a:ext cx="143392" cy="113580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16763" y="12057616"/>
              <a:ext cx="14339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16763" y="26226977"/>
              <a:ext cx="143392" cy="46763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78391" y="34363837"/>
              <a:ext cx="187694"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78391" y="34363837"/>
              <a:ext cx="187694" cy="386853"/>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110</xdr:row>
          <xdr:rowOff>137160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7620</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0</xdr:colOff>
          <xdr:row>117</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732371" y="2665045"/>
          <a:ext cx="1200970" cy="214095"/>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442399" y="2671259"/>
          <a:ext cx="1845855" cy="219465"/>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22860</xdr:rowOff>
        </xdr:from>
        <xdr:to>
          <xdr:col>2</xdr:col>
          <xdr:colOff>7620</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16763" y="19683538"/>
              <a:ext cx="143392" cy="53496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16763" y="24824070"/>
              <a:ext cx="143392"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16763" y="19687348"/>
              <a:ext cx="139582" cy="53496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16763" y="24824070"/>
              <a:ext cx="139582"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16763" y="19687348"/>
              <a:ext cx="139582" cy="540253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16763" y="25016047"/>
              <a:ext cx="139582"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16763" y="19683538"/>
              <a:ext cx="143392" cy="54063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16763" y="25016047"/>
              <a:ext cx="143392"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16763" y="21567849"/>
              <a:ext cx="13958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16763" y="21567849"/>
              <a:ext cx="14339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16763" y="24632093"/>
              <a:ext cx="14339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16763" y="24632093"/>
              <a:ext cx="13958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85367" y="23613140"/>
              <a:ext cx="143392" cy="3618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85367" y="23613140"/>
              <a:ext cx="139582" cy="361802"/>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51485" y="91995"/>
          <a:ext cx="12695695" cy="892121"/>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946025" y="95805"/>
          <a:ext cx="14192250" cy="8950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43145" y="2245179"/>
              <a:ext cx="2885666" cy="6463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43145" y="5493884"/>
              <a:ext cx="2885666" cy="6463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43145" y="6140223"/>
              <a:ext cx="288566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view="pageBreakPreview" zoomScale="80" zoomScaleNormal="67" zoomScaleSheetLayoutView="80" workbookViewId="0">
      <selection sqref="A1:AG1"/>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8" customWidth="1"/>
    <col min="29" max="29" width="2.77734375" style="58" customWidth="1"/>
    <col min="30" max="30" width="12.33203125" style="58"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0" width="9" customWidth="1"/>
    <col min="41" max="43" width="9" hidden="1" customWidth="1"/>
    <col min="44" max="62" width="0" hidden="1" customWidth="1"/>
  </cols>
  <sheetData>
    <row r="1" spans="1:41" s="42" customFormat="1" ht="43.95" customHeight="1">
      <c r="A1" s="727" t="s">
        <v>2211</v>
      </c>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43"/>
      <c r="AO1" s="44" t="s">
        <v>0</v>
      </c>
    </row>
    <row r="2" spans="1:41" s="42" customFormat="1" ht="28.95" customHeight="1">
      <c r="A2" s="726" t="s">
        <v>1</v>
      </c>
      <c r="B2" s="726"/>
      <c r="C2" s="726"/>
      <c r="D2" s="726"/>
      <c r="E2" s="726"/>
      <c r="F2" s="726"/>
      <c r="G2" s="726"/>
      <c r="H2" s="726"/>
      <c r="I2" s="726"/>
      <c r="J2" s="726"/>
      <c r="K2" s="726"/>
      <c r="L2" s="726"/>
      <c r="M2" s="726"/>
      <c r="N2" s="726"/>
      <c r="O2" s="726"/>
      <c r="P2" s="726"/>
      <c r="Q2" s="726"/>
      <c r="R2" s="726"/>
      <c r="S2" s="726"/>
      <c r="T2" s="726"/>
      <c r="U2" s="726"/>
      <c r="V2" s="726"/>
      <c r="W2" s="726"/>
      <c r="X2" s="726"/>
      <c r="Y2" s="726"/>
      <c r="Z2" s="726"/>
      <c r="AA2" s="726"/>
      <c r="AB2" s="726"/>
      <c r="AC2" s="726"/>
      <c r="AD2" s="726"/>
      <c r="AE2" s="726"/>
      <c r="AF2" s="726"/>
      <c r="AG2" s="726"/>
      <c r="AH2" s="45"/>
    </row>
    <row r="3" spans="1:41" s="47" customFormat="1" ht="19.2" customHeight="1">
      <c r="A3" s="750" t="s">
        <v>2212</v>
      </c>
      <c r="B3" s="750"/>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46"/>
    </row>
    <row r="4" spans="1:41" s="42" customFormat="1" ht="40.950000000000003" customHeight="1">
      <c r="A4" s="751" t="s">
        <v>2208</v>
      </c>
      <c r="B4" s="751"/>
      <c r="C4" s="751"/>
      <c r="D4" s="751"/>
      <c r="E4" s="751"/>
      <c r="F4" s="751"/>
      <c r="G4" s="751"/>
      <c r="H4" s="751"/>
      <c r="I4" s="751"/>
      <c r="J4" s="751"/>
      <c r="K4" s="751"/>
      <c r="L4" s="751"/>
      <c r="M4" s="751"/>
      <c r="N4" s="751"/>
      <c r="O4" s="751"/>
      <c r="P4" s="751"/>
      <c r="Q4" s="751"/>
      <c r="R4" s="751"/>
      <c r="S4" s="751"/>
      <c r="T4" s="751"/>
      <c r="U4" s="751"/>
      <c r="V4" s="751"/>
      <c r="W4" s="751"/>
      <c r="X4" s="751"/>
      <c r="Y4" s="751"/>
      <c r="Z4" s="751"/>
      <c r="AA4" s="751"/>
      <c r="AB4" s="751"/>
      <c r="AC4" s="751"/>
      <c r="AD4" s="751"/>
      <c r="AE4" s="751"/>
      <c r="AF4" s="751"/>
      <c r="AG4" s="751"/>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95"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95" customHeight="1">
      <c r="A8" s="726"/>
      <c r="B8" s="726"/>
      <c r="C8" s="726"/>
      <c r="D8" s="726"/>
      <c r="E8" s="726"/>
      <c r="F8" s="726"/>
      <c r="G8" s="726"/>
      <c r="H8" s="726"/>
      <c r="I8" s="726"/>
      <c r="J8" s="726"/>
      <c r="K8" s="726"/>
      <c r="L8" s="726"/>
      <c r="M8" s="726"/>
      <c r="N8" s="726"/>
      <c r="O8" s="726"/>
      <c r="P8" s="726"/>
      <c r="Q8" s="726"/>
      <c r="R8" s="726"/>
      <c r="S8" s="726"/>
      <c r="T8" s="726"/>
      <c r="U8" s="726"/>
      <c r="V8" s="726"/>
      <c r="W8" s="726"/>
      <c r="X8" s="726"/>
      <c r="Y8" s="726"/>
      <c r="Z8" s="726"/>
      <c r="AA8" s="726"/>
      <c r="AB8" s="726"/>
      <c r="AC8" s="726"/>
      <c r="AD8" s="726"/>
      <c r="AE8" s="726"/>
      <c r="AF8" s="726"/>
      <c r="AG8" s="726"/>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t="s">
        <v>2509</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95" customHeight="1">
      <c r="A11" s="49" t="s">
        <v>3</v>
      </c>
      <c r="B11" s="83"/>
      <c r="C11" s="744"/>
      <c r="D11" s="745"/>
      <c r="E11" s="745"/>
      <c r="F11" s="745"/>
      <c r="G11" s="745"/>
      <c r="H11" s="745"/>
      <c r="I11" s="745"/>
      <c r="J11" s="745"/>
      <c r="K11" s="745"/>
      <c r="L11" s="745"/>
      <c r="M11" s="745"/>
      <c r="N11" s="745"/>
      <c r="O11" s="745"/>
      <c r="P11" s="745"/>
      <c r="Q11" s="745"/>
      <c r="R11" s="746"/>
      <c r="S11" s="49"/>
      <c r="T11" s="49"/>
      <c r="U11" s="49"/>
      <c r="V11" s="49"/>
      <c r="W11" s="49"/>
      <c r="X11" s="49"/>
      <c r="Y11" s="49"/>
      <c r="Z11" s="49"/>
      <c r="AA11" s="49"/>
      <c r="AB11"/>
      <c r="AC11"/>
      <c r="AD11"/>
    </row>
    <row r="12" spans="1:41" ht="13.2"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738" t="s">
        <v>6</v>
      </c>
      <c r="B14" s="738"/>
      <c r="C14" s="738"/>
      <c r="D14" s="738"/>
      <c r="E14" s="738"/>
      <c r="F14" s="738"/>
      <c r="G14" s="738"/>
      <c r="H14" s="738"/>
      <c r="I14" s="738"/>
      <c r="J14" s="738"/>
      <c r="K14" s="738"/>
      <c r="L14" s="738"/>
      <c r="M14" s="738"/>
      <c r="N14" s="738"/>
      <c r="O14" s="738"/>
      <c r="P14" s="738"/>
      <c r="Q14" s="738"/>
      <c r="R14" s="738"/>
      <c r="S14" s="738"/>
      <c r="T14" s="738"/>
      <c r="U14" s="738"/>
      <c r="V14" s="738"/>
      <c r="W14" s="738"/>
      <c r="X14" s="738"/>
      <c r="Y14" s="738"/>
      <c r="Z14" s="738"/>
      <c r="AA14" s="738"/>
      <c r="AB14" s="24"/>
      <c r="AC14" s="24"/>
      <c r="AD14" s="24"/>
      <c r="AE14" s="24"/>
      <c r="AF14" s="24"/>
    </row>
    <row r="15" spans="1:41" ht="20.100000000000001" customHeight="1">
      <c r="A15" s="742" t="s">
        <v>7</v>
      </c>
      <c r="B15" s="703" t="s">
        <v>8</v>
      </c>
      <c r="C15" s="703"/>
      <c r="D15" s="703"/>
      <c r="E15" s="703"/>
      <c r="F15" s="703"/>
      <c r="G15" s="703"/>
      <c r="H15" s="703"/>
      <c r="I15" s="703"/>
      <c r="J15" s="703"/>
      <c r="K15" s="703"/>
      <c r="L15" s="705"/>
      <c r="M15" s="706"/>
      <c r="N15" s="706"/>
      <c r="O15" s="706"/>
      <c r="P15" s="706"/>
      <c r="Q15" s="706"/>
      <c r="R15" s="706"/>
      <c r="S15" s="706"/>
      <c r="T15" s="706"/>
      <c r="U15" s="706"/>
      <c r="V15" s="706"/>
      <c r="W15" s="706"/>
      <c r="X15" s="706"/>
      <c r="Y15" s="706"/>
      <c r="Z15" s="706"/>
      <c r="AA15" s="706"/>
      <c r="AB15" s="706"/>
      <c r="AC15" s="706"/>
      <c r="AD15" s="706"/>
      <c r="AE15" s="706"/>
      <c r="AF15" s="707"/>
    </row>
    <row r="16" spans="1:41" ht="20.100000000000001" customHeight="1">
      <c r="A16" s="743"/>
      <c r="B16" s="703" t="s">
        <v>9</v>
      </c>
      <c r="C16" s="703"/>
      <c r="D16" s="703"/>
      <c r="E16" s="703"/>
      <c r="F16" s="703"/>
      <c r="G16" s="703"/>
      <c r="H16" s="703"/>
      <c r="I16" s="703"/>
      <c r="J16" s="703"/>
      <c r="K16" s="703"/>
      <c r="L16" s="705"/>
      <c r="M16" s="706"/>
      <c r="N16" s="706"/>
      <c r="O16" s="706"/>
      <c r="P16" s="706"/>
      <c r="Q16" s="706"/>
      <c r="R16" s="706"/>
      <c r="S16" s="706"/>
      <c r="T16" s="706"/>
      <c r="U16" s="706"/>
      <c r="V16" s="706"/>
      <c r="W16" s="706"/>
      <c r="X16" s="706"/>
      <c r="Y16" s="706"/>
      <c r="Z16" s="706"/>
      <c r="AA16" s="706"/>
      <c r="AB16" s="706"/>
      <c r="AC16" s="706"/>
      <c r="AD16" s="706"/>
      <c r="AE16" s="706"/>
      <c r="AF16" s="707"/>
    </row>
    <row r="17" spans="1:41" ht="20.100000000000001" customHeight="1">
      <c r="A17" s="677" t="s">
        <v>10</v>
      </c>
      <c r="B17" s="703" t="s">
        <v>11</v>
      </c>
      <c r="C17" s="703"/>
      <c r="D17" s="703"/>
      <c r="E17" s="703"/>
      <c r="F17" s="703"/>
      <c r="G17" s="703"/>
      <c r="H17" s="703"/>
      <c r="I17" s="703"/>
      <c r="J17" s="703"/>
      <c r="K17" s="703"/>
      <c r="L17" s="714"/>
      <c r="M17" s="715"/>
      <c r="N17" s="715"/>
      <c r="O17" s="716"/>
      <c r="P17" s="78" t="s">
        <v>12</v>
      </c>
      <c r="Q17" s="717"/>
      <c r="R17" s="718"/>
      <c r="S17" s="718"/>
      <c r="T17" s="718"/>
      <c r="U17" s="719"/>
      <c r="V17" s="38"/>
      <c r="W17" s="38"/>
      <c r="X17" s="38"/>
      <c r="Y17" s="38"/>
      <c r="Z17" s="38"/>
      <c r="AB17" s="24"/>
      <c r="AC17" s="24"/>
      <c r="AD17" s="24"/>
      <c r="AO17" s="28" t="s">
        <v>13</v>
      </c>
    </row>
    <row r="18" spans="1:41" ht="44.25" customHeight="1">
      <c r="A18" s="701"/>
      <c r="B18" s="704" t="s">
        <v>14</v>
      </c>
      <c r="C18" s="704"/>
      <c r="D18" s="704"/>
      <c r="E18" s="704"/>
      <c r="F18" s="704"/>
      <c r="G18" s="704"/>
      <c r="H18" s="704"/>
      <c r="I18" s="704"/>
      <c r="J18" s="704"/>
      <c r="K18" s="704"/>
      <c r="L18" s="705"/>
      <c r="M18" s="706"/>
      <c r="N18" s="706"/>
      <c r="O18" s="706"/>
      <c r="P18" s="706"/>
      <c r="Q18" s="706"/>
      <c r="R18" s="706"/>
      <c r="S18" s="706"/>
      <c r="T18" s="706"/>
      <c r="U18" s="706"/>
      <c r="V18" s="706"/>
      <c r="W18" s="706"/>
      <c r="X18" s="706"/>
      <c r="Y18" s="706"/>
      <c r="Z18" s="706"/>
      <c r="AA18" s="706"/>
      <c r="AB18" s="706"/>
      <c r="AC18" s="706"/>
      <c r="AD18" s="706"/>
      <c r="AE18" s="706"/>
      <c r="AF18" s="707"/>
      <c r="AO18" s="28" t="str">
        <f>L17&amp;"-"&amp;Q17</f>
        <v>-</v>
      </c>
    </row>
    <row r="19" spans="1:41" ht="38.25" customHeight="1">
      <c r="A19" s="702"/>
      <c r="B19" s="704" t="s">
        <v>15</v>
      </c>
      <c r="C19" s="704"/>
      <c r="D19" s="704"/>
      <c r="E19" s="704"/>
      <c r="F19" s="704"/>
      <c r="G19" s="704"/>
      <c r="H19" s="704"/>
      <c r="I19" s="704"/>
      <c r="J19" s="704"/>
      <c r="K19" s="704"/>
      <c r="L19" s="747"/>
      <c r="M19" s="748"/>
      <c r="N19" s="748"/>
      <c r="O19" s="748"/>
      <c r="P19" s="748"/>
      <c r="Q19" s="748"/>
      <c r="R19" s="748"/>
      <c r="S19" s="748"/>
      <c r="T19" s="748"/>
      <c r="U19" s="748"/>
      <c r="V19" s="748"/>
      <c r="W19" s="748"/>
      <c r="X19" s="748"/>
      <c r="Y19" s="748"/>
      <c r="Z19" s="748"/>
      <c r="AA19" s="748"/>
      <c r="AB19" s="748"/>
      <c r="AC19" s="748"/>
      <c r="AD19" s="748"/>
      <c r="AE19" s="748"/>
      <c r="AF19" s="749"/>
    </row>
    <row r="20" spans="1:41" ht="30" customHeight="1">
      <c r="A20" s="732" t="s">
        <v>16</v>
      </c>
      <c r="B20" s="731" t="s">
        <v>17</v>
      </c>
      <c r="C20" s="703"/>
      <c r="D20" s="703"/>
      <c r="E20" s="703"/>
      <c r="F20" s="703"/>
      <c r="G20" s="703"/>
      <c r="H20" s="703"/>
      <c r="I20" s="703"/>
      <c r="J20" s="703"/>
      <c r="K20" s="703"/>
      <c r="L20" s="681"/>
      <c r="M20" s="682"/>
      <c r="N20" s="682"/>
      <c r="O20" s="682"/>
      <c r="P20" s="682"/>
      <c r="Q20" s="682"/>
      <c r="R20" s="682"/>
      <c r="S20" s="682"/>
      <c r="T20" s="682"/>
      <c r="U20" s="682"/>
      <c r="V20" s="682"/>
      <c r="W20" s="682"/>
      <c r="X20" s="682"/>
      <c r="Y20" s="682"/>
      <c r="Z20" s="682"/>
      <c r="AA20" s="682"/>
      <c r="AB20" s="682"/>
      <c r="AC20" s="682"/>
      <c r="AD20" s="682"/>
      <c r="AE20" s="682"/>
      <c r="AF20" s="683"/>
    </row>
    <row r="21" spans="1:41" ht="19.5" customHeight="1">
      <c r="A21" s="733"/>
      <c r="B21" s="730" t="s">
        <v>18</v>
      </c>
      <c r="C21" s="730"/>
      <c r="D21" s="730"/>
      <c r="E21" s="730"/>
      <c r="F21" s="730"/>
      <c r="G21" s="730"/>
      <c r="H21" s="730"/>
      <c r="I21" s="730"/>
      <c r="J21" s="730"/>
      <c r="K21" s="731"/>
      <c r="L21" s="681"/>
      <c r="M21" s="682"/>
      <c r="N21" s="682"/>
      <c r="O21" s="682"/>
      <c r="P21" s="682"/>
      <c r="Q21" s="682"/>
      <c r="R21" s="682"/>
      <c r="S21" s="682"/>
      <c r="T21" s="682"/>
      <c r="U21" s="682"/>
      <c r="V21" s="682"/>
      <c r="W21" s="682"/>
      <c r="X21" s="682"/>
      <c r="Y21" s="682"/>
      <c r="Z21" s="682"/>
      <c r="AA21" s="682"/>
      <c r="AB21" s="682"/>
      <c r="AC21" s="682"/>
      <c r="AD21" s="682"/>
      <c r="AE21" s="682"/>
      <c r="AF21" s="683"/>
    </row>
    <row r="22" spans="1:41" ht="20.100000000000001" customHeight="1">
      <c r="A22" s="739" t="s">
        <v>19</v>
      </c>
      <c r="B22" s="740"/>
      <c r="C22" s="740"/>
      <c r="D22" s="740"/>
      <c r="E22" s="740"/>
      <c r="F22" s="740"/>
      <c r="G22" s="740"/>
      <c r="H22" s="740"/>
      <c r="I22" s="740"/>
      <c r="J22" s="740"/>
      <c r="K22" s="741"/>
      <c r="L22" s="720"/>
      <c r="M22" s="721"/>
      <c r="N22" s="721"/>
      <c r="O22" s="721"/>
      <c r="P22" s="721"/>
      <c r="Q22" s="721"/>
      <c r="R22" s="721"/>
      <c r="S22" s="721"/>
      <c r="T22" s="721"/>
      <c r="U22" s="721"/>
      <c r="V22" s="722"/>
      <c r="W22" s="39"/>
      <c r="X22" s="39"/>
      <c r="Y22" s="39"/>
      <c r="Z22" s="39"/>
      <c r="AA22" s="40"/>
      <c r="AB22" s="40"/>
      <c r="AC22" s="40"/>
      <c r="AD22" s="40"/>
      <c r="AE22" s="40"/>
      <c r="AF22" s="40"/>
      <c r="AI22" s="12"/>
    </row>
    <row r="23" spans="1:41" ht="20.100000000000001" customHeight="1">
      <c r="A23" s="728" t="s">
        <v>20</v>
      </c>
      <c r="B23" s="703" t="s">
        <v>8</v>
      </c>
      <c r="C23" s="703"/>
      <c r="D23" s="703"/>
      <c r="E23" s="703"/>
      <c r="F23" s="703"/>
      <c r="G23" s="703"/>
      <c r="H23" s="703"/>
      <c r="I23" s="703"/>
      <c r="J23" s="703"/>
      <c r="K23" s="703"/>
      <c r="L23" s="681"/>
      <c r="M23" s="682"/>
      <c r="N23" s="682"/>
      <c r="O23" s="682"/>
      <c r="P23" s="682"/>
      <c r="Q23" s="682"/>
      <c r="R23" s="682"/>
      <c r="S23" s="682"/>
      <c r="T23" s="682"/>
      <c r="U23" s="682"/>
      <c r="V23" s="682"/>
      <c r="W23" s="682"/>
      <c r="X23" s="683"/>
      <c r="Y23" s="39"/>
      <c r="Z23" s="39"/>
      <c r="AA23" s="40"/>
      <c r="AB23" s="40"/>
      <c r="AC23" s="40"/>
      <c r="AD23" s="40"/>
      <c r="AE23" s="40"/>
      <c r="AF23" s="40"/>
    </row>
    <row r="24" spans="1:41" ht="20.100000000000001" customHeight="1">
      <c r="A24" s="729"/>
      <c r="B24" s="737" t="s">
        <v>18</v>
      </c>
      <c r="C24" s="737"/>
      <c r="D24" s="737"/>
      <c r="E24" s="737"/>
      <c r="F24" s="737"/>
      <c r="G24" s="737"/>
      <c r="H24" s="737"/>
      <c r="I24" s="737"/>
      <c r="J24" s="737"/>
      <c r="K24" s="737"/>
      <c r="L24" s="681"/>
      <c r="M24" s="682"/>
      <c r="N24" s="682"/>
      <c r="O24" s="682"/>
      <c r="P24" s="682"/>
      <c r="Q24" s="682"/>
      <c r="R24" s="682"/>
      <c r="S24" s="682"/>
      <c r="T24" s="682"/>
      <c r="U24" s="682"/>
      <c r="V24" s="682"/>
      <c r="W24" s="682"/>
      <c r="X24" s="683"/>
      <c r="Y24" s="39"/>
      <c r="Z24" s="39"/>
      <c r="AA24" s="40"/>
      <c r="AB24" s="40"/>
      <c r="AC24" s="40"/>
      <c r="AD24" s="40"/>
      <c r="AE24" s="40"/>
      <c r="AF24" s="40"/>
    </row>
    <row r="25" spans="1:41" ht="20.100000000000001" customHeight="1">
      <c r="A25" s="677" t="s">
        <v>21</v>
      </c>
      <c r="B25" s="703" t="s">
        <v>22</v>
      </c>
      <c r="C25" s="703"/>
      <c r="D25" s="703"/>
      <c r="E25" s="703"/>
      <c r="F25" s="703"/>
      <c r="G25" s="703"/>
      <c r="H25" s="703"/>
      <c r="I25" s="703"/>
      <c r="J25" s="703"/>
      <c r="K25" s="703"/>
      <c r="L25" s="681"/>
      <c r="M25" s="682"/>
      <c r="N25" s="682"/>
      <c r="O25" s="682"/>
      <c r="P25" s="682"/>
      <c r="Q25" s="682"/>
      <c r="R25" s="682"/>
      <c r="S25" s="682"/>
      <c r="T25" s="682"/>
      <c r="U25" s="682"/>
      <c r="V25" s="682"/>
      <c r="W25" s="682"/>
      <c r="X25" s="683"/>
      <c r="Y25" s="39"/>
      <c r="Z25" s="39"/>
      <c r="AA25" s="40"/>
      <c r="AB25" s="40"/>
      <c r="AC25" s="40"/>
      <c r="AD25" s="40"/>
      <c r="AE25" s="40"/>
      <c r="AF25" s="40"/>
    </row>
    <row r="26" spans="1:41" ht="20.100000000000001" customHeight="1">
      <c r="A26" s="702"/>
      <c r="B26" s="703" t="s">
        <v>23</v>
      </c>
      <c r="C26" s="703"/>
      <c r="D26" s="703"/>
      <c r="E26" s="703"/>
      <c r="F26" s="703"/>
      <c r="G26" s="703"/>
      <c r="H26" s="703"/>
      <c r="I26" s="703"/>
      <c r="J26" s="703"/>
      <c r="K26" s="703"/>
      <c r="L26" s="734"/>
      <c r="M26" s="735"/>
      <c r="N26" s="735"/>
      <c r="O26" s="735"/>
      <c r="P26" s="735"/>
      <c r="Q26" s="735"/>
      <c r="R26" s="735"/>
      <c r="S26" s="735"/>
      <c r="T26" s="735"/>
      <c r="U26" s="735"/>
      <c r="V26" s="735"/>
      <c r="W26" s="735"/>
      <c r="X26" s="736"/>
      <c r="Y26" s="39"/>
      <c r="Z26" s="39"/>
      <c r="AA26" s="40"/>
      <c r="AB26" s="40"/>
      <c r="AC26" s="40"/>
      <c r="AD26" s="40"/>
      <c r="AE26" s="40"/>
      <c r="AF26" s="40"/>
    </row>
    <row r="27" spans="1:41" ht="13.95"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 customHeight="1" thickBot="1">
      <c r="A30" s="726" t="s">
        <v>2213</v>
      </c>
      <c r="B30" s="726"/>
      <c r="C30" s="726"/>
      <c r="D30" s="726"/>
      <c r="E30" s="726"/>
      <c r="F30" s="726"/>
      <c r="G30" s="726"/>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row>
    <row r="31" spans="1:41" s="42" customFormat="1" ht="23.4" customHeight="1" thickBot="1">
      <c r="A31" s="756" t="s">
        <v>2214</v>
      </c>
      <c r="B31" s="756"/>
      <c r="C31" s="756"/>
      <c r="D31" s="756"/>
      <c r="E31" s="756"/>
      <c r="F31" s="756"/>
      <c r="G31" s="756"/>
      <c r="H31" s="756"/>
      <c r="I31" s="756"/>
      <c r="J31" s="756"/>
      <c r="K31" s="756"/>
      <c r="L31" s="756"/>
      <c r="M31" s="756"/>
      <c r="N31" s="756"/>
      <c r="O31" s="756"/>
      <c r="P31" s="756"/>
      <c r="Q31" s="756"/>
      <c r="R31" s="756"/>
      <c r="S31" s="756"/>
      <c r="T31" s="756"/>
      <c r="U31" s="756"/>
      <c r="V31" s="756"/>
      <c r="W31" s="756"/>
      <c r="X31" s="756"/>
      <c r="Y31" s="756"/>
      <c r="Z31" s="756"/>
      <c r="AA31" s="756"/>
      <c r="AB31" s="756"/>
      <c r="AC31" s="756"/>
      <c r="AD31" s="756"/>
      <c r="AE31" s="756"/>
      <c r="AF31" s="757"/>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5" customHeight="1">
      <c r="A33" s="686" t="s">
        <v>26</v>
      </c>
      <c r="B33" s="708" t="s">
        <v>2215</v>
      </c>
      <c r="C33" s="709"/>
      <c r="D33" s="709"/>
      <c r="E33" s="709"/>
      <c r="F33" s="709"/>
      <c r="G33" s="709"/>
      <c r="H33" s="709"/>
      <c r="I33" s="709"/>
      <c r="J33" s="709"/>
      <c r="K33" s="710"/>
      <c r="L33" s="708" t="s">
        <v>27</v>
      </c>
      <c r="M33" s="709"/>
      <c r="N33" s="709"/>
      <c r="O33" s="709"/>
      <c r="P33" s="710"/>
      <c r="Q33" s="671" t="s">
        <v>28</v>
      </c>
      <c r="R33" s="672"/>
      <c r="S33" s="672"/>
      <c r="T33" s="672"/>
      <c r="U33" s="672"/>
      <c r="V33" s="673"/>
      <c r="W33" s="697" t="s">
        <v>29</v>
      </c>
      <c r="X33" s="697"/>
      <c r="Y33" s="697"/>
      <c r="Z33" s="697" t="s">
        <v>30</v>
      </c>
      <c r="AA33" s="697"/>
      <c r="AB33" s="697"/>
      <c r="AC33" s="684" t="s">
        <v>31</v>
      </c>
      <c r="AD33" s="676" t="s">
        <v>2216</v>
      </c>
      <c r="AE33" s="674" t="s">
        <v>2217</v>
      </c>
      <c r="AF33" s="754" t="s">
        <v>2218</v>
      </c>
      <c r="AG33" s="670"/>
      <c r="AH33"/>
      <c r="AI33"/>
      <c r="AJ33"/>
      <c r="AK33"/>
      <c r="AL33"/>
      <c r="AM33"/>
      <c r="AN33"/>
    </row>
    <row r="34" spans="1:43" s="42" customFormat="1" ht="47.4" customHeight="1" thickBot="1">
      <c r="A34" s="687"/>
      <c r="B34" s="670"/>
      <c r="C34" s="711"/>
      <c r="D34" s="711"/>
      <c r="E34" s="711"/>
      <c r="F34" s="711"/>
      <c r="G34" s="711"/>
      <c r="H34" s="711"/>
      <c r="I34" s="711"/>
      <c r="J34" s="711"/>
      <c r="K34" s="712"/>
      <c r="L34" s="670"/>
      <c r="M34" s="711"/>
      <c r="N34" s="711"/>
      <c r="O34" s="711"/>
      <c r="P34" s="712"/>
      <c r="Q34" s="676" t="s">
        <v>32</v>
      </c>
      <c r="R34" s="677"/>
      <c r="S34" s="677"/>
      <c r="T34" s="677"/>
      <c r="U34" s="677"/>
      <c r="V34" s="292" t="s">
        <v>33</v>
      </c>
      <c r="W34" s="676"/>
      <c r="X34" s="676"/>
      <c r="Y34" s="676"/>
      <c r="Z34" s="676"/>
      <c r="AA34" s="676"/>
      <c r="AB34" s="676"/>
      <c r="AC34" s="685"/>
      <c r="AD34" s="753"/>
      <c r="AE34" s="675"/>
      <c r="AF34" s="755"/>
      <c r="AG34" s="670"/>
      <c r="AH34"/>
      <c r="AI34"/>
      <c r="AJ34"/>
      <c r="AK34"/>
      <c r="AL34"/>
      <c r="AM34"/>
      <c r="AN34"/>
    </row>
    <row r="35" spans="1:43" ht="45" customHeight="1" thickBot="1">
      <c r="A35" s="51">
        <v>1</v>
      </c>
      <c r="B35" s="694"/>
      <c r="C35" s="695"/>
      <c r="D35" s="695"/>
      <c r="E35" s="695"/>
      <c r="F35" s="695"/>
      <c r="G35" s="695"/>
      <c r="H35" s="695"/>
      <c r="I35" s="695"/>
      <c r="J35" s="695"/>
      <c r="K35" s="696"/>
      <c r="L35" s="723"/>
      <c r="M35" s="724"/>
      <c r="N35" s="724"/>
      <c r="O35" s="724"/>
      <c r="P35" s="725"/>
      <c r="Q35" s="713"/>
      <c r="R35" s="713"/>
      <c r="S35" s="713"/>
      <c r="T35" s="713"/>
      <c r="U35" s="713"/>
      <c r="V35" s="295"/>
      <c r="W35" s="678"/>
      <c r="X35" s="679"/>
      <c r="Y35" s="680"/>
      <c r="Z35" s="758"/>
      <c r="AA35" s="758"/>
      <c r="AB35" s="758"/>
      <c r="AC35" s="296" t="str">
        <f>IFERROR(VLOOKUP(Z35,【参考】数式用!$A$4:$B$57,2,FALSE),"")</f>
        <v/>
      </c>
      <c r="AD35" s="576"/>
      <c r="AE35" s="577"/>
      <c r="AF35" s="294">
        <f>AD35-AE35</f>
        <v>0</v>
      </c>
      <c r="AG35" s="522"/>
      <c r="AH35" s="52"/>
      <c r="AI35" s="52"/>
      <c r="AJ35" s="52"/>
      <c r="AK35" s="52"/>
      <c r="AL35" s="52"/>
      <c r="AM35" s="52"/>
      <c r="AN35" s="52"/>
      <c r="AP35" s="104" t="str">
        <f>IF($L$16="", "", VLOOKUP(Z35,【参考】数式用!$A$2:$O$57,14,FALSE))</f>
        <v/>
      </c>
      <c r="AQ35" s="28" t="e">
        <f>VLOOKUP(Z35,【参考】数式用!$A$2:$O$57,15,FALSE)</f>
        <v>#N/A</v>
      </c>
    </row>
    <row r="36" spans="1:43" ht="45" customHeight="1" thickBot="1">
      <c r="A36" s="51">
        <f>A35+1</f>
        <v>2</v>
      </c>
      <c r="B36" s="694"/>
      <c r="C36" s="695"/>
      <c r="D36" s="695"/>
      <c r="E36" s="695"/>
      <c r="F36" s="695"/>
      <c r="G36" s="695"/>
      <c r="H36" s="695"/>
      <c r="I36" s="695"/>
      <c r="J36" s="695"/>
      <c r="K36" s="696"/>
      <c r="L36" s="691"/>
      <c r="M36" s="692"/>
      <c r="N36" s="692"/>
      <c r="O36" s="692"/>
      <c r="P36" s="693"/>
      <c r="Q36" s="669"/>
      <c r="R36" s="669"/>
      <c r="S36" s="669"/>
      <c r="T36" s="669"/>
      <c r="U36" s="669"/>
      <c r="V36" s="293"/>
      <c r="W36" s="698"/>
      <c r="X36" s="699"/>
      <c r="Y36" s="700"/>
      <c r="Z36" s="668"/>
      <c r="AA36" s="668"/>
      <c r="AB36" s="668"/>
      <c r="AC36" s="114" t="str">
        <f>IFERROR(VLOOKUP(Z36,【参考】数式用!$A$4:$B$57,2,FALSE),"")</f>
        <v/>
      </c>
      <c r="AD36" s="578"/>
      <c r="AE36" s="579"/>
      <c r="AF36" s="294">
        <f t="shared" ref="AF36:AF100" si="0">AD36-AE36</f>
        <v>0</v>
      </c>
      <c r="AG36" s="522"/>
      <c r="AP36" s="104" t="str">
        <f>IF($L$16="", "", VLOOKUP(Z36,【参考】数式用!$A$2:$O$57,14,FALSE))</f>
        <v/>
      </c>
      <c r="AQ36" s="28" t="e">
        <f>VLOOKUP(Z36,【参考】数式用!$A$2:$O$57,15,FALSE)</f>
        <v>#N/A</v>
      </c>
    </row>
    <row r="37" spans="1:43" ht="49.95" customHeight="1" thickBot="1">
      <c r="A37" s="51">
        <f t="shared" ref="A37:A100" si="1">A36+1</f>
        <v>3</v>
      </c>
      <c r="B37" s="694"/>
      <c r="C37" s="695"/>
      <c r="D37" s="695"/>
      <c r="E37" s="695"/>
      <c r="F37" s="695"/>
      <c r="G37" s="695"/>
      <c r="H37" s="695"/>
      <c r="I37" s="695"/>
      <c r="J37" s="695"/>
      <c r="K37" s="696"/>
      <c r="L37" s="691"/>
      <c r="M37" s="692"/>
      <c r="N37" s="692"/>
      <c r="O37" s="692"/>
      <c r="P37" s="693"/>
      <c r="Q37" s="669"/>
      <c r="R37" s="669"/>
      <c r="S37" s="669"/>
      <c r="T37" s="669"/>
      <c r="U37" s="669"/>
      <c r="V37" s="293"/>
      <c r="W37" s="698"/>
      <c r="X37" s="699"/>
      <c r="Y37" s="700"/>
      <c r="Z37" s="668"/>
      <c r="AA37" s="668"/>
      <c r="AB37" s="668"/>
      <c r="AC37" s="114" t="str">
        <f>IFERROR(VLOOKUP(Z37,【参考】数式用!$A$4:$B$57,2,FALSE),"")</f>
        <v/>
      </c>
      <c r="AD37" s="578"/>
      <c r="AE37" s="579"/>
      <c r="AF37" s="294">
        <f t="shared" si="0"/>
        <v>0</v>
      </c>
      <c r="AG37" s="522"/>
      <c r="AP37" s="104" t="str">
        <f>IF($L$16="", "", VLOOKUP(Z37,【参考】数式用!$A$2:$O$57,14,FALSE))</f>
        <v/>
      </c>
      <c r="AQ37" s="28" t="e">
        <f>VLOOKUP(Z37,【参考】数式用!$A$2:$O$57,15,FALSE)</f>
        <v>#N/A</v>
      </c>
    </row>
    <row r="38" spans="1:43" ht="49.95" customHeight="1" thickBot="1">
      <c r="A38" s="51">
        <f t="shared" si="1"/>
        <v>4</v>
      </c>
      <c r="B38" s="694"/>
      <c r="C38" s="695"/>
      <c r="D38" s="695"/>
      <c r="E38" s="695"/>
      <c r="F38" s="695"/>
      <c r="G38" s="695"/>
      <c r="H38" s="695"/>
      <c r="I38" s="695"/>
      <c r="J38" s="695"/>
      <c r="K38" s="696"/>
      <c r="L38" s="691"/>
      <c r="M38" s="692"/>
      <c r="N38" s="692"/>
      <c r="O38" s="692"/>
      <c r="P38" s="693"/>
      <c r="Q38" s="669"/>
      <c r="R38" s="669"/>
      <c r="S38" s="669"/>
      <c r="T38" s="669"/>
      <c r="U38" s="669"/>
      <c r="V38" s="293"/>
      <c r="W38" s="698"/>
      <c r="X38" s="699"/>
      <c r="Y38" s="700"/>
      <c r="Z38" s="668"/>
      <c r="AA38" s="668"/>
      <c r="AB38" s="668"/>
      <c r="AC38" s="114" t="str">
        <f>IFERROR(VLOOKUP(Z38,【参考】数式用!$A$4:$B$57,2,FALSE),"")</f>
        <v/>
      </c>
      <c r="AD38" s="578"/>
      <c r="AE38" s="579"/>
      <c r="AF38" s="294">
        <f t="shared" ref="AF38" si="2">AD38-AE38</f>
        <v>0</v>
      </c>
      <c r="AG38" s="522"/>
      <c r="AP38" s="104" t="str">
        <f>IF($L$16="", "", VLOOKUP(Z38,【参考】数式用!$A$2:$O$57,14,FALSE))</f>
        <v/>
      </c>
      <c r="AQ38" s="28" t="e">
        <f>VLOOKUP(Z38,【参考】数式用!$A$2:$O$57,15,FALSE)</f>
        <v>#N/A</v>
      </c>
    </row>
    <row r="39" spans="1:43" ht="49.95" customHeight="1" thickBot="1">
      <c r="A39" s="51">
        <f t="shared" si="1"/>
        <v>5</v>
      </c>
      <c r="B39" s="694"/>
      <c r="C39" s="695"/>
      <c r="D39" s="695"/>
      <c r="E39" s="695"/>
      <c r="F39" s="695"/>
      <c r="G39" s="695"/>
      <c r="H39" s="695"/>
      <c r="I39" s="695"/>
      <c r="J39" s="695"/>
      <c r="K39" s="696"/>
      <c r="L39" s="691"/>
      <c r="M39" s="692"/>
      <c r="N39" s="692"/>
      <c r="O39" s="692"/>
      <c r="P39" s="693"/>
      <c r="Q39" s="669"/>
      <c r="R39" s="669"/>
      <c r="S39" s="669"/>
      <c r="T39" s="669"/>
      <c r="U39" s="669"/>
      <c r="V39" s="293"/>
      <c r="W39" s="698"/>
      <c r="X39" s="699"/>
      <c r="Y39" s="700"/>
      <c r="Z39" s="668"/>
      <c r="AA39" s="668"/>
      <c r="AB39" s="668"/>
      <c r="AC39" s="114" t="str">
        <f>IFERROR(VLOOKUP(Z39,【参考】数式用!$A$4:$B$57,2,FALSE),"")</f>
        <v/>
      </c>
      <c r="AD39" s="578"/>
      <c r="AE39" s="579"/>
      <c r="AF39" s="294">
        <f t="shared" si="0"/>
        <v>0</v>
      </c>
      <c r="AG39" s="522"/>
      <c r="AP39" s="104" t="str">
        <f>IF($L$16="", "", VLOOKUP(Z39,【参考】数式用!$A$2:$O$57,14,FALSE))</f>
        <v/>
      </c>
      <c r="AQ39" s="28" t="e">
        <f>VLOOKUP(Z39,【参考】数式用!$A$2:$O$57,15,FALSE)</f>
        <v>#N/A</v>
      </c>
    </row>
    <row r="40" spans="1:43" ht="49.95" customHeight="1" thickBot="1">
      <c r="A40" s="51">
        <f t="shared" si="1"/>
        <v>6</v>
      </c>
      <c r="B40" s="694"/>
      <c r="C40" s="695"/>
      <c r="D40" s="695"/>
      <c r="E40" s="695"/>
      <c r="F40" s="695"/>
      <c r="G40" s="695"/>
      <c r="H40" s="695"/>
      <c r="I40" s="695"/>
      <c r="J40" s="695"/>
      <c r="K40" s="696"/>
      <c r="L40" s="691"/>
      <c r="M40" s="692"/>
      <c r="N40" s="692"/>
      <c r="O40" s="692"/>
      <c r="P40" s="693"/>
      <c r="Q40" s="669"/>
      <c r="R40" s="669"/>
      <c r="S40" s="669"/>
      <c r="T40" s="669"/>
      <c r="U40" s="669"/>
      <c r="V40" s="293"/>
      <c r="W40" s="698"/>
      <c r="X40" s="699"/>
      <c r="Y40" s="700"/>
      <c r="Z40" s="668"/>
      <c r="AA40" s="668"/>
      <c r="AB40" s="668"/>
      <c r="AC40" s="114" t="str">
        <f>IFERROR(VLOOKUP(Z40,【参考】数式用!$A$4:$B$57,2,FALSE),"")</f>
        <v/>
      </c>
      <c r="AD40" s="578"/>
      <c r="AE40" s="579"/>
      <c r="AF40" s="294">
        <f t="shared" si="0"/>
        <v>0</v>
      </c>
      <c r="AG40" s="522"/>
      <c r="AP40" s="104" t="str">
        <f>IF($L$16="", "", VLOOKUP(Z40,【参考】数式用!$A$2:$O$57,14,FALSE))</f>
        <v/>
      </c>
      <c r="AQ40" s="28" t="e">
        <f>VLOOKUP(Z40,【参考】数式用!$A$2:$O$57,15,FALSE)</f>
        <v>#N/A</v>
      </c>
    </row>
    <row r="41" spans="1:43" ht="49.95" customHeight="1">
      <c r="A41" s="51">
        <f t="shared" si="1"/>
        <v>7</v>
      </c>
      <c r="B41" s="694"/>
      <c r="C41" s="695"/>
      <c r="D41" s="695"/>
      <c r="E41" s="695"/>
      <c r="F41" s="695"/>
      <c r="G41" s="695"/>
      <c r="H41" s="695"/>
      <c r="I41" s="695"/>
      <c r="J41" s="695"/>
      <c r="K41" s="696"/>
      <c r="L41" s="691"/>
      <c r="M41" s="692"/>
      <c r="N41" s="692"/>
      <c r="O41" s="692"/>
      <c r="P41" s="693"/>
      <c r="Q41" s="669"/>
      <c r="R41" s="669"/>
      <c r="S41" s="669"/>
      <c r="T41" s="669"/>
      <c r="U41" s="669"/>
      <c r="V41" s="293"/>
      <c r="W41" s="698"/>
      <c r="X41" s="699"/>
      <c r="Y41" s="700"/>
      <c r="Z41" s="668"/>
      <c r="AA41" s="668"/>
      <c r="AB41" s="668"/>
      <c r="AC41" s="114" t="str">
        <f>IFERROR(VLOOKUP(Z41,【参考】数式用!$A$4:$B$57,2,FALSE),"")</f>
        <v/>
      </c>
      <c r="AD41" s="291"/>
      <c r="AE41" s="297"/>
      <c r="AF41" s="294">
        <f t="shared" si="0"/>
        <v>0</v>
      </c>
      <c r="AG41" s="522"/>
      <c r="AP41" s="104" t="str">
        <f>IF($L$16="", "", VLOOKUP(Z41,【参考】数式用!$A$2:$O$57,14,FALSE))</f>
        <v/>
      </c>
      <c r="AQ41" s="28" t="e">
        <f>VLOOKUP(Z41,【参考】数式用!$A$2:$O$57,15,FALSE)</f>
        <v>#N/A</v>
      </c>
    </row>
    <row r="42" spans="1:43" ht="49.95" customHeight="1">
      <c r="A42" s="51">
        <f t="shared" si="1"/>
        <v>8</v>
      </c>
      <c r="B42" s="689"/>
      <c r="C42" s="690"/>
      <c r="D42" s="690"/>
      <c r="E42" s="690"/>
      <c r="F42" s="690"/>
      <c r="G42" s="690"/>
      <c r="H42" s="690"/>
      <c r="I42" s="690"/>
      <c r="J42" s="690"/>
      <c r="K42" s="690"/>
      <c r="L42" s="688"/>
      <c r="M42" s="688"/>
      <c r="N42" s="688"/>
      <c r="O42" s="688"/>
      <c r="P42" s="688"/>
      <c r="Q42" s="669"/>
      <c r="R42" s="669"/>
      <c r="S42" s="669"/>
      <c r="T42" s="669"/>
      <c r="U42" s="669"/>
      <c r="V42" s="293"/>
      <c r="W42" s="668"/>
      <c r="X42" s="668"/>
      <c r="Y42" s="668"/>
      <c r="Z42" s="668"/>
      <c r="AA42" s="668"/>
      <c r="AB42" s="668"/>
      <c r="AC42" s="114" t="str">
        <f>IFERROR(VLOOKUP(Z42,【参考】数式用!$A$4:$B$57,2,FALSE),"")</f>
        <v/>
      </c>
      <c r="AD42" s="291"/>
      <c r="AE42" s="297"/>
      <c r="AF42" s="294">
        <f t="shared" si="0"/>
        <v>0</v>
      </c>
      <c r="AG42" s="522"/>
      <c r="AP42" s="104" t="str">
        <f>IF($L$16="", "", VLOOKUP(Z42,【参考】数式用!$A$2:$O$57,14,FALSE))</f>
        <v/>
      </c>
      <c r="AQ42" s="28" t="e">
        <f>VLOOKUP(Z42,【参考】数式用!$A$2:$O$57,15,FALSE)</f>
        <v>#N/A</v>
      </c>
    </row>
    <row r="43" spans="1:43" ht="49.95" customHeight="1">
      <c r="A43" s="51">
        <f t="shared" si="1"/>
        <v>9</v>
      </c>
      <c r="B43" s="689"/>
      <c r="C43" s="690"/>
      <c r="D43" s="690"/>
      <c r="E43" s="690"/>
      <c r="F43" s="690"/>
      <c r="G43" s="690"/>
      <c r="H43" s="690"/>
      <c r="I43" s="690"/>
      <c r="J43" s="690"/>
      <c r="K43" s="690"/>
      <c r="L43" s="688"/>
      <c r="M43" s="688"/>
      <c r="N43" s="688"/>
      <c r="O43" s="688"/>
      <c r="P43" s="688"/>
      <c r="Q43" s="669"/>
      <c r="R43" s="669"/>
      <c r="S43" s="669"/>
      <c r="T43" s="669"/>
      <c r="U43" s="669"/>
      <c r="V43" s="293"/>
      <c r="W43" s="668"/>
      <c r="X43" s="668"/>
      <c r="Y43" s="668"/>
      <c r="Z43" s="668"/>
      <c r="AA43" s="668"/>
      <c r="AB43" s="668"/>
      <c r="AC43" s="114" t="str">
        <f>IFERROR(VLOOKUP(Z43,【参考】数式用!$A$4:$B$57,2,FALSE),"")</f>
        <v/>
      </c>
      <c r="AD43" s="291"/>
      <c r="AE43" s="297"/>
      <c r="AF43" s="294">
        <f t="shared" si="0"/>
        <v>0</v>
      </c>
      <c r="AG43" s="522"/>
      <c r="AP43" s="104" t="str">
        <f>IF($L$16="", "", VLOOKUP(Z43,【参考】数式用!$A$2:$O$57,14,FALSE))</f>
        <v/>
      </c>
      <c r="AQ43" s="28" t="e">
        <f>VLOOKUP(Z43,【参考】数式用!$A$2:$O$57,15,FALSE)</f>
        <v>#N/A</v>
      </c>
    </row>
    <row r="44" spans="1:43" ht="49.95" customHeight="1">
      <c r="A44" s="51">
        <f t="shared" si="1"/>
        <v>10</v>
      </c>
      <c r="B44" s="689"/>
      <c r="C44" s="690"/>
      <c r="D44" s="690"/>
      <c r="E44" s="690"/>
      <c r="F44" s="690"/>
      <c r="G44" s="690"/>
      <c r="H44" s="690"/>
      <c r="I44" s="690"/>
      <c r="J44" s="690"/>
      <c r="K44" s="690"/>
      <c r="L44" s="688"/>
      <c r="M44" s="688"/>
      <c r="N44" s="688"/>
      <c r="O44" s="688"/>
      <c r="P44" s="688"/>
      <c r="Q44" s="669"/>
      <c r="R44" s="669"/>
      <c r="S44" s="669"/>
      <c r="T44" s="669"/>
      <c r="U44" s="669"/>
      <c r="V44" s="293"/>
      <c r="W44" s="668"/>
      <c r="X44" s="668"/>
      <c r="Y44" s="668"/>
      <c r="Z44" s="668"/>
      <c r="AA44" s="668"/>
      <c r="AB44" s="668"/>
      <c r="AC44" s="114" t="str">
        <f>IFERROR(VLOOKUP(Z44,【参考】数式用!$A$4:$B$57,2,FALSE),"")</f>
        <v/>
      </c>
      <c r="AD44" s="291"/>
      <c r="AE44" s="297"/>
      <c r="AF44" s="294">
        <f t="shared" si="0"/>
        <v>0</v>
      </c>
      <c r="AG44" s="522"/>
      <c r="AP44" s="104" t="str">
        <f>IF($L$16="", "", VLOOKUP(Z44,【参考】数式用!$A$2:$O$57,14,FALSE))</f>
        <v/>
      </c>
      <c r="AQ44" s="28" t="e">
        <f>VLOOKUP(Z44,【参考】数式用!$A$2:$O$57,15,FALSE)</f>
        <v>#N/A</v>
      </c>
    </row>
    <row r="45" spans="1:43" ht="49.95" customHeight="1">
      <c r="A45" s="51">
        <f t="shared" si="1"/>
        <v>11</v>
      </c>
      <c r="B45" s="689"/>
      <c r="C45" s="690"/>
      <c r="D45" s="690"/>
      <c r="E45" s="690"/>
      <c r="F45" s="690"/>
      <c r="G45" s="690"/>
      <c r="H45" s="690"/>
      <c r="I45" s="690"/>
      <c r="J45" s="690"/>
      <c r="K45" s="690"/>
      <c r="L45" s="688"/>
      <c r="M45" s="688"/>
      <c r="N45" s="688"/>
      <c r="O45" s="688"/>
      <c r="P45" s="688"/>
      <c r="Q45" s="669"/>
      <c r="R45" s="669"/>
      <c r="S45" s="669"/>
      <c r="T45" s="669"/>
      <c r="U45" s="669"/>
      <c r="V45" s="293"/>
      <c r="W45" s="668"/>
      <c r="X45" s="668"/>
      <c r="Y45" s="668"/>
      <c r="Z45" s="668"/>
      <c r="AA45" s="668"/>
      <c r="AB45" s="668"/>
      <c r="AC45" s="114" t="str">
        <f>IFERROR(VLOOKUP(Z45,【参考】数式用!$A$4:$B$57,2,FALSE),"")</f>
        <v/>
      </c>
      <c r="AD45" s="291"/>
      <c r="AE45" s="297"/>
      <c r="AF45" s="294">
        <f t="shared" si="0"/>
        <v>0</v>
      </c>
      <c r="AG45" s="522"/>
      <c r="AP45" s="104" t="str">
        <f>IF($L$16="", "", VLOOKUP(Z45,【参考】数式用!$A$2:$O$57,14,FALSE))</f>
        <v/>
      </c>
      <c r="AQ45" s="28" t="e">
        <f>VLOOKUP(Z45,【参考】数式用!$A$2:$O$57,15,FALSE)</f>
        <v>#N/A</v>
      </c>
    </row>
    <row r="46" spans="1:43" ht="49.95" customHeight="1">
      <c r="A46" s="51">
        <f t="shared" si="1"/>
        <v>12</v>
      </c>
      <c r="B46" s="689"/>
      <c r="C46" s="690"/>
      <c r="D46" s="690"/>
      <c r="E46" s="690"/>
      <c r="F46" s="690"/>
      <c r="G46" s="690"/>
      <c r="H46" s="690"/>
      <c r="I46" s="690"/>
      <c r="J46" s="690"/>
      <c r="K46" s="690"/>
      <c r="L46" s="688"/>
      <c r="M46" s="688"/>
      <c r="N46" s="688"/>
      <c r="O46" s="688"/>
      <c r="P46" s="688"/>
      <c r="Q46" s="669"/>
      <c r="R46" s="669"/>
      <c r="S46" s="669"/>
      <c r="T46" s="669"/>
      <c r="U46" s="669"/>
      <c r="V46" s="293"/>
      <c r="W46" s="668"/>
      <c r="X46" s="668"/>
      <c r="Y46" s="668"/>
      <c r="Z46" s="668"/>
      <c r="AA46" s="668"/>
      <c r="AB46" s="668"/>
      <c r="AC46" s="114" t="str">
        <f>IFERROR(VLOOKUP(Z46,【参考】数式用!$A$4:$B$57,2,FALSE),"")</f>
        <v/>
      </c>
      <c r="AD46" s="291"/>
      <c r="AE46" s="297"/>
      <c r="AF46" s="294">
        <f t="shared" si="0"/>
        <v>0</v>
      </c>
      <c r="AG46" s="522"/>
      <c r="AP46" s="104" t="str">
        <f>IF($L$16="", "", VLOOKUP(Z46,【参考】数式用!$A$2:$O$57,14,FALSE))</f>
        <v/>
      </c>
      <c r="AQ46" s="28" t="e">
        <f>VLOOKUP(Z46,【参考】数式用!$A$2:$O$57,15,FALSE)</f>
        <v>#N/A</v>
      </c>
    </row>
    <row r="47" spans="1:43" ht="49.95" customHeight="1">
      <c r="A47" s="51">
        <f t="shared" si="1"/>
        <v>13</v>
      </c>
      <c r="B47" s="689"/>
      <c r="C47" s="690"/>
      <c r="D47" s="690"/>
      <c r="E47" s="690"/>
      <c r="F47" s="690"/>
      <c r="G47" s="690"/>
      <c r="H47" s="690"/>
      <c r="I47" s="690"/>
      <c r="J47" s="690"/>
      <c r="K47" s="690"/>
      <c r="L47" s="688"/>
      <c r="M47" s="688"/>
      <c r="N47" s="688"/>
      <c r="O47" s="688"/>
      <c r="P47" s="688"/>
      <c r="Q47" s="669"/>
      <c r="R47" s="669"/>
      <c r="S47" s="669"/>
      <c r="T47" s="669"/>
      <c r="U47" s="669"/>
      <c r="V47" s="293"/>
      <c r="W47" s="668"/>
      <c r="X47" s="668"/>
      <c r="Y47" s="668"/>
      <c r="Z47" s="668"/>
      <c r="AA47" s="668"/>
      <c r="AB47" s="668"/>
      <c r="AC47" s="114" t="str">
        <f>IFERROR(VLOOKUP(Z47,【参考】数式用!$A$4:$B$57,2,FALSE),"")</f>
        <v/>
      </c>
      <c r="AD47" s="291"/>
      <c r="AE47" s="297"/>
      <c r="AF47" s="294">
        <f t="shared" si="0"/>
        <v>0</v>
      </c>
      <c r="AG47" s="522"/>
      <c r="AP47" s="104" t="str">
        <f>IF($L$16="", "", VLOOKUP(Z47,【参考】数式用!$A$2:$O$57,14,FALSE))</f>
        <v/>
      </c>
      <c r="AQ47" s="28" t="e">
        <f>VLOOKUP(Z47,【参考】数式用!$A$2:$O$57,15,FALSE)</f>
        <v>#N/A</v>
      </c>
    </row>
    <row r="48" spans="1:43" ht="49.95" customHeight="1">
      <c r="A48" s="51">
        <f t="shared" si="1"/>
        <v>14</v>
      </c>
      <c r="B48" s="689"/>
      <c r="C48" s="690"/>
      <c r="D48" s="690"/>
      <c r="E48" s="690"/>
      <c r="F48" s="690"/>
      <c r="G48" s="690"/>
      <c r="H48" s="690"/>
      <c r="I48" s="690"/>
      <c r="J48" s="690"/>
      <c r="K48" s="690"/>
      <c r="L48" s="688"/>
      <c r="M48" s="688"/>
      <c r="N48" s="688"/>
      <c r="O48" s="688"/>
      <c r="P48" s="688"/>
      <c r="Q48" s="669"/>
      <c r="R48" s="669"/>
      <c r="S48" s="669"/>
      <c r="T48" s="669"/>
      <c r="U48" s="669"/>
      <c r="V48" s="293"/>
      <c r="W48" s="668"/>
      <c r="X48" s="668"/>
      <c r="Y48" s="668"/>
      <c r="Z48" s="668"/>
      <c r="AA48" s="668"/>
      <c r="AB48" s="668"/>
      <c r="AC48" s="114" t="str">
        <f>IFERROR(VLOOKUP(Z48,【参考】数式用!$A$4:$B$57,2,FALSE),"")</f>
        <v/>
      </c>
      <c r="AD48" s="291"/>
      <c r="AE48" s="297"/>
      <c r="AF48" s="294">
        <f t="shared" si="0"/>
        <v>0</v>
      </c>
      <c r="AG48" s="522"/>
      <c r="AP48" s="104" t="str">
        <f>IF($L$16="", "", VLOOKUP(Z48,【参考】数式用!$A$2:$O$57,14,FALSE))</f>
        <v/>
      </c>
      <c r="AQ48" s="28" t="e">
        <f>VLOOKUP(Z48,【参考】数式用!$A$2:$O$57,15,FALSE)</f>
        <v>#N/A</v>
      </c>
    </row>
    <row r="49" spans="1:43" ht="49.95" customHeight="1">
      <c r="A49" s="51">
        <f t="shared" si="1"/>
        <v>15</v>
      </c>
      <c r="B49" s="689"/>
      <c r="C49" s="690"/>
      <c r="D49" s="690"/>
      <c r="E49" s="690"/>
      <c r="F49" s="690"/>
      <c r="G49" s="690"/>
      <c r="H49" s="690"/>
      <c r="I49" s="690"/>
      <c r="J49" s="690"/>
      <c r="K49" s="690"/>
      <c r="L49" s="688"/>
      <c r="M49" s="688"/>
      <c r="N49" s="688"/>
      <c r="O49" s="688"/>
      <c r="P49" s="688"/>
      <c r="Q49" s="669"/>
      <c r="R49" s="669"/>
      <c r="S49" s="669"/>
      <c r="T49" s="669"/>
      <c r="U49" s="669"/>
      <c r="V49" s="293"/>
      <c r="W49" s="668"/>
      <c r="X49" s="668"/>
      <c r="Y49" s="668"/>
      <c r="Z49" s="668"/>
      <c r="AA49" s="668"/>
      <c r="AB49" s="668"/>
      <c r="AC49" s="114" t="str">
        <f>IFERROR(VLOOKUP(Z49,【参考】数式用!$A$4:$B$57,2,FALSE),"")</f>
        <v/>
      </c>
      <c r="AD49" s="291"/>
      <c r="AE49" s="297"/>
      <c r="AF49" s="294">
        <f t="shared" si="0"/>
        <v>0</v>
      </c>
      <c r="AG49" s="522"/>
      <c r="AP49" s="104" t="str">
        <f>IF($L$16="", "", VLOOKUP(Z49,【参考】数式用!$A$2:$O$57,14,FALSE))</f>
        <v/>
      </c>
      <c r="AQ49" s="28" t="e">
        <f>VLOOKUP(Z49,【参考】数式用!$A$2:$O$57,15,FALSE)</f>
        <v>#N/A</v>
      </c>
    </row>
    <row r="50" spans="1:43" ht="49.95" customHeight="1">
      <c r="A50" s="51">
        <f t="shared" si="1"/>
        <v>16</v>
      </c>
      <c r="B50" s="689"/>
      <c r="C50" s="690"/>
      <c r="D50" s="690"/>
      <c r="E50" s="690"/>
      <c r="F50" s="690"/>
      <c r="G50" s="690"/>
      <c r="H50" s="690"/>
      <c r="I50" s="690"/>
      <c r="J50" s="690"/>
      <c r="K50" s="690"/>
      <c r="L50" s="688"/>
      <c r="M50" s="688"/>
      <c r="N50" s="688"/>
      <c r="O50" s="688"/>
      <c r="P50" s="688"/>
      <c r="Q50" s="669"/>
      <c r="R50" s="669"/>
      <c r="S50" s="669"/>
      <c r="T50" s="669"/>
      <c r="U50" s="669"/>
      <c r="V50" s="293"/>
      <c r="W50" s="668"/>
      <c r="X50" s="668"/>
      <c r="Y50" s="668"/>
      <c r="Z50" s="668"/>
      <c r="AA50" s="668"/>
      <c r="AB50" s="668"/>
      <c r="AC50" s="114" t="str">
        <f>IFERROR(VLOOKUP(Z50,【参考】数式用!$A$4:$B$57,2,FALSE),"")</f>
        <v/>
      </c>
      <c r="AD50" s="291"/>
      <c r="AE50" s="297"/>
      <c r="AF50" s="294">
        <f t="shared" si="0"/>
        <v>0</v>
      </c>
      <c r="AG50" s="522"/>
      <c r="AP50" s="104" t="str">
        <f>IF($L$16="", "", VLOOKUP(Z50,【参考】数式用!$A$2:$O$57,14,FALSE))</f>
        <v/>
      </c>
      <c r="AQ50" s="28" t="e">
        <f>VLOOKUP(Z50,【参考】数式用!$A$2:$O$57,15,FALSE)</f>
        <v>#N/A</v>
      </c>
    </row>
    <row r="51" spans="1:43" ht="49.95" customHeight="1">
      <c r="A51" s="51">
        <f t="shared" si="1"/>
        <v>17</v>
      </c>
      <c r="B51" s="689"/>
      <c r="C51" s="690"/>
      <c r="D51" s="690"/>
      <c r="E51" s="690"/>
      <c r="F51" s="690"/>
      <c r="G51" s="690"/>
      <c r="H51" s="690"/>
      <c r="I51" s="690"/>
      <c r="J51" s="690"/>
      <c r="K51" s="690"/>
      <c r="L51" s="688"/>
      <c r="M51" s="688"/>
      <c r="N51" s="688"/>
      <c r="O51" s="688"/>
      <c r="P51" s="688"/>
      <c r="Q51" s="669"/>
      <c r="R51" s="669"/>
      <c r="S51" s="669"/>
      <c r="T51" s="669"/>
      <c r="U51" s="669"/>
      <c r="V51" s="293"/>
      <c r="W51" s="668"/>
      <c r="X51" s="668"/>
      <c r="Y51" s="668"/>
      <c r="Z51" s="668"/>
      <c r="AA51" s="668"/>
      <c r="AB51" s="668"/>
      <c r="AC51" s="114" t="str">
        <f>IFERROR(VLOOKUP(Z51,【参考】数式用!$A$4:$B$57,2,FALSE),"")</f>
        <v/>
      </c>
      <c r="AD51" s="291"/>
      <c r="AE51" s="297"/>
      <c r="AF51" s="294">
        <f t="shared" si="0"/>
        <v>0</v>
      </c>
      <c r="AG51" s="522"/>
      <c r="AP51" s="104" t="str">
        <f>IF($L$16="", "", VLOOKUP(Z51,【参考】数式用!$A$2:$O$57,14,FALSE))</f>
        <v/>
      </c>
      <c r="AQ51" s="28" t="e">
        <f>VLOOKUP(Z51,【参考】数式用!$A$2:$O$57,15,FALSE)</f>
        <v>#N/A</v>
      </c>
    </row>
    <row r="52" spans="1:43" ht="49.95" customHeight="1">
      <c r="A52" s="51">
        <f t="shared" si="1"/>
        <v>18</v>
      </c>
      <c r="B52" s="689"/>
      <c r="C52" s="690"/>
      <c r="D52" s="690"/>
      <c r="E52" s="690"/>
      <c r="F52" s="690"/>
      <c r="G52" s="690"/>
      <c r="H52" s="690"/>
      <c r="I52" s="690"/>
      <c r="J52" s="690"/>
      <c r="K52" s="690"/>
      <c r="L52" s="688"/>
      <c r="M52" s="688"/>
      <c r="N52" s="688"/>
      <c r="O52" s="688"/>
      <c r="P52" s="688"/>
      <c r="Q52" s="669"/>
      <c r="R52" s="669"/>
      <c r="S52" s="669"/>
      <c r="T52" s="669"/>
      <c r="U52" s="669"/>
      <c r="V52" s="293"/>
      <c r="W52" s="668"/>
      <c r="X52" s="668"/>
      <c r="Y52" s="668"/>
      <c r="Z52" s="668"/>
      <c r="AA52" s="668"/>
      <c r="AB52" s="668"/>
      <c r="AC52" s="114" t="str">
        <f>IFERROR(VLOOKUP(Z52,【参考】数式用!$A$4:$B$57,2,FALSE),"")</f>
        <v/>
      </c>
      <c r="AD52" s="291"/>
      <c r="AE52" s="297"/>
      <c r="AF52" s="294">
        <f t="shared" si="0"/>
        <v>0</v>
      </c>
      <c r="AG52" s="522"/>
      <c r="AP52" s="104" t="str">
        <f>IF($L$16="", "", VLOOKUP(Z52,【参考】数式用!$A$2:$O$57,14,FALSE))</f>
        <v/>
      </c>
      <c r="AQ52" s="28" t="e">
        <f>VLOOKUP(Z52,【参考】数式用!$A$2:$O$57,15,FALSE)</f>
        <v>#N/A</v>
      </c>
    </row>
    <row r="53" spans="1:43" ht="49.95" customHeight="1">
      <c r="A53" s="51">
        <f t="shared" si="1"/>
        <v>19</v>
      </c>
      <c r="B53" s="689"/>
      <c r="C53" s="690"/>
      <c r="D53" s="690"/>
      <c r="E53" s="690"/>
      <c r="F53" s="690"/>
      <c r="G53" s="690"/>
      <c r="H53" s="690"/>
      <c r="I53" s="690"/>
      <c r="J53" s="690"/>
      <c r="K53" s="690"/>
      <c r="L53" s="688"/>
      <c r="M53" s="688"/>
      <c r="N53" s="688"/>
      <c r="O53" s="688"/>
      <c r="P53" s="688"/>
      <c r="Q53" s="669"/>
      <c r="R53" s="669"/>
      <c r="S53" s="669"/>
      <c r="T53" s="669"/>
      <c r="U53" s="669"/>
      <c r="V53" s="293"/>
      <c r="W53" s="668"/>
      <c r="X53" s="668"/>
      <c r="Y53" s="668"/>
      <c r="Z53" s="668"/>
      <c r="AA53" s="668"/>
      <c r="AB53" s="668"/>
      <c r="AC53" s="114" t="str">
        <f>IFERROR(VLOOKUP(Z53,【参考】数式用!$A$4:$B$57,2,FALSE),"")</f>
        <v/>
      </c>
      <c r="AD53" s="291"/>
      <c r="AE53" s="297"/>
      <c r="AF53" s="294">
        <f t="shared" si="0"/>
        <v>0</v>
      </c>
      <c r="AG53" s="522"/>
      <c r="AP53" s="104" t="str">
        <f>IF($L$16="", "", VLOOKUP(Z53,【参考】数式用!$A$2:$O$57,14,FALSE))</f>
        <v/>
      </c>
      <c r="AQ53" s="28" t="e">
        <f>VLOOKUP(Z53,【参考】数式用!$A$2:$O$57,15,FALSE)</f>
        <v>#N/A</v>
      </c>
    </row>
    <row r="54" spans="1:43" ht="49.95" customHeight="1">
      <c r="A54" s="51">
        <f t="shared" si="1"/>
        <v>20</v>
      </c>
      <c r="B54" s="689"/>
      <c r="C54" s="690"/>
      <c r="D54" s="690"/>
      <c r="E54" s="690"/>
      <c r="F54" s="690"/>
      <c r="G54" s="690"/>
      <c r="H54" s="690"/>
      <c r="I54" s="690"/>
      <c r="J54" s="690"/>
      <c r="K54" s="690"/>
      <c r="L54" s="688"/>
      <c r="M54" s="688"/>
      <c r="N54" s="688"/>
      <c r="O54" s="688"/>
      <c r="P54" s="688"/>
      <c r="Q54" s="669"/>
      <c r="R54" s="669"/>
      <c r="S54" s="669"/>
      <c r="T54" s="669"/>
      <c r="U54" s="669"/>
      <c r="V54" s="293"/>
      <c r="W54" s="668"/>
      <c r="X54" s="668"/>
      <c r="Y54" s="668"/>
      <c r="Z54" s="668"/>
      <c r="AA54" s="668"/>
      <c r="AB54" s="668"/>
      <c r="AC54" s="114" t="str">
        <f>IFERROR(VLOOKUP(Z54,【参考】数式用!$A$4:$B$57,2,FALSE),"")</f>
        <v/>
      </c>
      <c r="AD54" s="291"/>
      <c r="AE54" s="297"/>
      <c r="AF54" s="294">
        <f t="shared" si="0"/>
        <v>0</v>
      </c>
      <c r="AG54" s="522"/>
      <c r="AP54" s="104" t="str">
        <f>IF($L$16="", "", VLOOKUP(Z54,【参考】数式用!$A$2:$O$57,14,FALSE))</f>
        <v/>
      </c>
      <c r="AQ54" s="28" t="e">
        <f>VLOOKUP(Z54,【参考】数式用!$A$2:$O$57,15,FALSE)</f>
        <v>#N/A</v>
      </c>
    </row>
    <row r="55" spans="1:43" ht="49.95" customHeight="1">
      <c r="A55" s="51">
        <f t="shared" si="1"/>
        <v>21</v>
      </c>
      <c r="B55" s="689"/>
      <c r="C55" s="690"/>
      <c r="D55" s="690"/>
      <c r="E55" s="690"/>
      <c r="F55" s="690"/>
      <c r="G55" s="690"/>
      <c r="H55" s="690"/>
      <c r="I55" s="690"/>
      <c r="J55" s="690"/>
      <c r="K55" s="690"/>
      <c r="L55" s="688"/>
      <c r="M55" s="688"/>
      <c r="N55" s="688"/>
      <c r="O55" s="688"/>
      <c r="P55" s="688"/>
      <c r="Q55" s="669"/>
      <c r="R55" s="669"/>
      <c r="S55" s="669"/>
      <c r="T55" s="669"/>
      <c r="U55" s="669"/>
      <c r="V55" s="293"/>
      <c r="W55" s="668"/>
      <c r="X55" s="668"/>
      <c r="Y55" s="668"/>
      <c r="Z55" s="668"/>
      <c r="AA55" s="668"/>
      <c r="AB55" s="668"/>
      <c r="AC55" s="114" t="str">
        <f>IFERROR(VLOOKUP(Z55,【参考】数式用!$A$4:$B$57,2,FALSE),"")</f>
        <v/>
      </c>
      <c r="AD55" s="291"/>
      <c r="AE55" s="297"/>
      <c r="AF55" s="294">
        <f t="shared" si="0"/>
        <v>0</v>
      </c>
      <c r="AG55" s="522"/>
      <c r="AP55" s="104" t="str">
        <f>IF($L$16="", "", VLOOKUP(Z55,【参考】数式用!$A$2:$O$57,14,FALSE))</f>
        <v/>
      </c>
      <c r="AQ55" s="28" t="e">
        <f>VLOOKUP(Z55,【参考】数式用!$A$2:$O$57,15,FALSE)</f>
        <v>#N/A</v>
      </c>
    </row>
    <row r="56" spans="1:43" ht="49.95" customHeight="1">
      <c r="A56" s="51">
        <f t="shared" si="1"/>
        <v>22</v>
      </c>
      <c r="B56" s="689"/>
      <c r="C56" s="690"/>
      <c r="D56" s="690"/>
      <c r="E56" s="690"/>
      <c r="F56" s="690"/>
      <c r="G56" s="690"/>
      <c r="H56" s="690"/>
      <c r="I56" s="690"/>
      <c r="J56" s="690"/>
      <c r="K56" s="690"/>
      <c r="L56" s="688"/>
      <c r="M56" s="688"/>
      <c r="N56" s="688"/>
      <c r="O56" s="688"/>
      <c r="P56" s="688"/>
      <c r="Q56" s="669"/>
      <c r="R56" s="669"/>
      <c r="S56" s="669"/>
      <c r="T56" s="669"/>
      <c r="U56" s="669"/>
      <c r="V56" s="293"/>
      <c r="W56" s="668"/>
      <c r="X56" s="668"/>
      <c r="Y56" s="668"/>
      <c r="Z56" s="668"/>
      <c r="AA56" s="668"/>
      <c r="AB56" s="668"/>
      <c r="AC56" s="114" t="str">
        <f>IFERROR(VLOOKUP(Z56,【参考】数式用!$A$4:$B$57,2,FALSE),"")</f>
        <v/>
      </c>
      <c r="AD56" s="291"/>
      <c r="AE56" s="297"/>
      <c r="AF56" s="294">
        <f t="shared" si="0"/>
        <v>0</v>
      </c>
      <c r="AG56" s="522"/>
      <c r="AP56" s="104" t="str">
        <f>IF($L$16="", "", VLOOKUP(Z56,【参考】数式用!$A$2:$O$57,14,FALSE))</f>
        <v/>
      </c>
      <c r="AQ56" s="28" t="e">
        <f>VLOOKUP(Z56,【参考】数式用!$A$2:$O$57,15,FALSE)</f>
        <v>#N/A</v>
      </c>
    </row>
    <row r="57" spans="1:43" ht="49.95" customHeight="1">
      <c r="A57" s="51">
        <f t="shared" si="1"/>
        <v>23</v>
      </c>
      <c r="B57" s="689"/>
      <c r="C57" s="690"/>
      <c r="D57" s="690"/>
      <c r="E57" s="690"/>
      <c r="F57" s="690"/>
      <c r="G57" s="690"/>
      <c r="H57" s="690"/>
      <c r="I57" s="690"/>
      <c r="J57" s="690"/>
      <c r="K57" s="690"/>
      <c r="L57" s="688"/>
      <c r="M57" s="688"/>
      <c r="N57" s="688"/>
      <c r="O57" s="688"/>
      <c r="P57" s="688"/>
      <c r="Q57" s="669"/>
      <c r="R57" s="669"/>
      <c r="S57" s="669"/>
      <c r="T57" s="669"/>
      <c r="U57" s="669"/>
      <c r="V57" s="293"/>
      <c r="W57" s="668"/>
      <c r="X57" s="668"/>
      <c r="Y57" s="668"/>
      <c r="Z57" s="668"/>
      <c r="AA57" s="668"/>
      <c r="AB57" s="668"/>
      <c r="AC57" s="114" t="str">
        <f>IFERROR(VLOOKUP(Z57,【参考】数式用!$A$4:$B$57,2,FALSE),"")</f>
        <v/>
      </c>
      <c r="AD57" s="291"/>
      <c r="AE57" s="297"/>
      <c r="AF57" s="294">
        <f t="shared" si="0"/>
        <v>0</v>
      </c>
      <c r="AG57" s="522"/>
      <c r="AP57" s="104" t="str">
        <f>IF($L$16="", "", VLOOKUP(Z57,【参考】数式用!$A$2:$O$57,14,FALSE))</f>
        <v/>
      </c>
      <c r="AQ57" s="28" t="e">
        <f>VLOOKUP(Z57,【参考】数式用!$A$2:$O$57,15,FALSE)</f>
        <v>#N/A</v>
      </c>
    </row>
    <row r="58" spans="1:43" ht="49.95" customHeight="1">
      <c r="A58" s="51">
        <f t="shared" si="1"/>
        <v>24</v>
      </c>
      <c r="B58" s="689"/>
      <c r="C58" s="690"/>
      <c r="D58" s="690"/>
      <c r="E58" s="690"/>
      <c r="F58" s="690"/>
      <c r="G58" s="690"/>
      <c r="H58" s="690"/>
      <c r="I58" s="690"/>
      <c r="J58" s="690"/>
      <c r="K58" s="690"/>
      <c r="L58" s="688"/>
      <c r="M58" s="688"/>
      <c r="N58" s="688"/>
      <c r="O58" s="688"/>
      <c r="P58" s="688"/>
      <c r="Q58" s="669"/>
      <c r="R58" s="669"/>
      <c r="S58" s="669"/>
      <c r="T58" s="669"/>
      <c r="U58" s="669"/>
      <c r="V58" s="293"/>
      <c r="W58" s="668"/>
      <c r="X58" s="668"/>
      <c r="Y58" s="668"/>
      <c r="Z58" s="668"/>
      <c r="AA58" s="668"/>
      <c r="AB58" s="668"/>
      <c r="AC58" s="114" t="str">
        <f>IFERROR(VLOOKUP(Z58,【参考】数式用!$A$4:$B$57,2,FALSE),"")</f>
        <v/>
      </c>
      <c r="AD58" s="291"/>
      <c r="AE58" s="297"/>
      <c r="AF58" s="294">
        <f t="shared" si="0"/>
        <v>0</v>
      </c>
      <c r="AG58" s="522"/>
      <c r="AP58" s="104" t="str">
        <f>IF($L$16="", "", VLOOKUP(Z58,【参考】数式用!$A$2:$O$57,14,FALSE))</f>
        <v/>
      </c>
      <c r="AQ58" s="28" t="e">
        <f>VLOOKUP(Z58,【参考】数式用!$A$2:$O$57,15,FALSE)</f>
        <v>#N/A</v>
      </c>
    </row>
    <row r="59" spans="1:43" ht="49.95" customHeight="1">
      <c r="A59" s="51">
        <f t="shared" si="1"/>
        <v>25</v>
      </c>
      <c r="B59" s="689"/>
      <c r="C59" s="690"/>
      <c r="D59" s="690"/>
      <c r="E59" s="690"/>
      <c r="F59" s="690"/>
      <c r="G59" s="690"/>
      <c r="H59" s="690"/>
      <c r="I59" s="690"/>
      <c r="J59" s="690"/>
      <c r="K59" s="690"/>
      <c r="L59" s="688"/>
      <c r="M59" s="688"/>
      <c r="N59" s="688"/>
      <c r="O59" s="688"/>
      <c r="P59" s="688"/>
      <c r="Q59" s="669"/>
      <c r="R59" s="669"/>
      <c r="S59" s="669"/>
      <c r="T59" s="669"/>
      <c r="U59" s="669"/>
      <c r="V59" s="293"/>
      <c r="W59" s="668"/>
      <c r="X59" s="668"/>
      <c r="Y59" s="668"/>
      <c r="Z59" s="668"/>
      <c r="AA59" s="668"/>
      <c r="AB59" s="668"/>
      <c r="AC59" s="114" t="str">
        <f>IFERROR(VLOOKUP(Z59,【参考】数式用!$A$4:$B$57,2,FALSE),"")</f>
        <v/>
      </c>
      <c r="AD59" s="291"/>
      <c r="AE59" s="297"/>
      <c r="AF59" s="294">
        <f t="shared" si="0"/>
        <v>0</v>
      </c>
      <c r="AG59" s="522"/>
      <c r="AP59" s="104" t="str">
        <f>IF($L$16="", "", VLOOKUP(Z59,【参考】数式用!$A$2:$O$57,14,FALSE))</f>
        <v/>
      </c>
      <c r="AQ59" s="28" t="e">
        <f>VLOOKUP(Z59,【参考】数式用!$A$2:$O$57,15,FALSE)</f>
        <v>#N/A</v>
      </c>
    </row>
    <row r="60" spans="1:43" ht="49.95" customHeight="1">
      <c r="A60" s="51">
        <f t="shared" si="1"/>
        <v>26</v>
      </c>
      <c r="B60" s="689"/>
      <c r="C60" s="690"/>
      <c r="D60" s="690"/>
      <c r="E60" s="690"/>
      <c r="F60" s="690"/>
      <c r="G60" s="690"/>
      <c r="H60" s="690"/>
      <c r="I60" s="690"/>
      <c r="J60" s="690"/>
      <c r="K60" s="690"/>
      <c r="L60" s="688"/>
      <c r="M60" s="688"/>
      <c r="N60" s="688"/>
      <c r="O60" s="688"/>
      <c r="P60" s="688"/>
      <c r="Q60" s="669"/>
      <c r="R60" s="669"/>
      <c r="S60" s="669"/>
      <c r="T60" s="669"/>
      <c r="U60" s="669"/>
      <c r="V60" s="293"/>
      <c r="W60" s="668"/>
      <c r="X60" s="668"/>
      <c r="Y60" s="668"/>
      <c r="Z60" s="668"/>
      <c r="AA60" s="668"/>
      <c r="AB60" s="668"/>
      <c r="AC60" s="114" t="str">
        <f>IFERROR(VLOOKUP(Z60,【参考】数式用!$A$4:$B$57,2,FALSE),"")</f>
        <v/>
      </c>
      <c r="AD60" s="291"/>
      <c r="AE60" s="297"/>
      <c r="AF60" s="294">
        <f t="shared" si="0"/>
        <v>0</v>
      </c>
      <c r="AG60" s="522"/>
      <c r="AP60" s="104" t="str">
        <f>IF($L$16="", "", VLOOKUP(Z60,【参考】数式用!$A$2:$O$57,14,FALSE))</f>
        <v/>
      </c>
      <c r="AQ60" s="28" t="e">
        <f>VLOOKUP(Z60,【参考】数式用!$A$2:$O$57,15,FALSE)</f>
        <v>#N/A</v>
      </c>
    </row>
    <row r="61" spans="1:43" ht="49.95" customHeight="1">
      <c r="A61" s="51">
        <f t="shared" si="1"/>
        <v>27</v>
      </c>
      <c r="B61" s="689"/>
      <c r="C61" s="690"/>
      <c r="D61" s="690"/>
      <c r="E61" s="690"/>
      <c r="F61" s="690"/>
      <c r="G61" s="690"/>
      <c r="H61" s="690"/>
      <c r="I61" s="690"/>
      <c r="J61" s="690"/>
      <c r="K61" s="690"/>
      <c r="L61" s="688"/>
      <c r="M61" s="688"/>
      <c r="N61" s="688"/>
      <c r="O61" s="688"/>
      <c r="P61" s="688"/>
      <c r="Q61" s="669"/>
      <c r="R61" s="669"/>
      <c r="S61" s="669"/>
      <c r="T61" s="669"/>
      <c r="U61" s="669"/>
      <c r="V61" s="293"/>
      <c r="W61" s="668"/>
      <c r="X61" s="668"/>
      <c r="Y61" s="668"/>
      <c r="Z61" s="668"/>
      <c r="AA61" s="668"/>
      <c r="AB61" s="668"/>
      <c r="AC61" s="114" t="str">
        <f>IFERROR(VLOOKUP(Z61,【参考】数式用!$A$4:$B$57,2,FALSE),"")</f>
        <v/>
      </c>
      <c r="AD61" s="291"/>
      <c r="AE61" s="297"/>
      <c r="AF61" s="294">
        <f t="shared" si="0"/>
        <v>0</v>
      </c>
      <c r="AG61" s="522"/>
      <c r="AP61" s="104" t="str">
        <f>IF($L$16="", "", VLOOKUP(Z61,【参考】数式用!$A$2:$O$57,14,FALSE))</f>
        <v/>
      </c>
      <c r="AQ61" s="28" t="e">
        <f>VLOOKUP(Z61,【参考】数式用!$A$2:$O$57,15,FALSE)</f>
        <v>#N/A</v>
      </c>
    </row>
    <row r="62" spans="1:43" ht="49.95" customHeight="1">
      <c r="A62" s="51">
        <f t="shared" si="1"/>
        <v>28</v>
      </c>
      <c r="B62" s="689"/>
      <c r="C62" s="690"/>
      <c r="D62" s="690"/>
      <c r="E62" s="690"/>
      <c r="F62" s="690"/>
      <c r="G62" s="690"/>
      <c r="H62" s="690"/>
      <c r="I62" s="690"/>
      <c r="J62" s="690"/>
      <c r="K62" s="690"/>
      <c r="L62" s="688"/>
      <c r="M62" s="688"/>
      <c r="N62" s="688"/>
      <c r="O62" s="688"/>
      <c r="P62" s="688"/>
      <c r="Q62" s="669"/>
      <c r="R62" s="669"/>
      <c r="S62" s="669"/>
      <c r="T62" s="669"/>
      <c r="U62" s="669"/>
      <c r="V62" s="293"/>
      <c r="W62" s="668"/>
      <c r="X62" s="668"/>
      <c r="Y62" s="668"/>
      <c r="Z62" s="668"/>
      <c r="AA62" s="668"/>
      <c r="AB62" s="668"/>
      <c r="AC62" s="114" t="str">
        <f>IFERROR(VLOOKUP(Z62,【参考】数式用!$A$4:$B$57,2,FALSE),"")</f>
        <v/>
      </c>
      <c r="AD62" s="291"/>
      <c r="AE62" s="297"/>
      <c r="AF62" s="294">
        <f t="shared" si="0"/>
        <v>0</v>
      </c>
      <c r="AG62" s="522"/>
      <c r="AP62" s="104" t="str">
        <f>IF($L$16="", "", VLOOKUP(Z62,【参考】数式用!$A$2:$O$57,14,FALSE))</f>
        <v/>
      </c>
      <c r="AQ62" s="28" t="e">
        <f>VLOOKUP(Z62,【参考】数式用!$A$2:$O$57,15,FALSE)</f>
        <v>#N/A</v>
      </c>
    </row>
    <row r="63" spans="1:43" ht="49.95" customHeight="1">
      <c r="A63" s="51">
        <f t="shared" si="1"/>
        <v>29</v>
      </c>
      <c r="B63" s="689"/>
      <c r="C63" s="690"/>
      <c r="D63" s="690"/>
      <c r="E63" s="690"/>
      <c r="F63" s="690"/>
      <c r="G63" s="690"/>
      <c r="H63" s="690"/>
      <c r="I63" s="690"/>
      <c r="J63" s="690"/>
      <c r="K63" s="690"/>
      <c r="L63" s="688"/>
      <c r="M63" s="688"/>
      <c r="N63" s="688"/>
      <c r="O63" s="688"/>
      <c r="P63" s="688"/>
      <c r="Q63" s="669"/>
      <c r="R63" s="669"/>
      <c r="S63" s="669"/>
      <c r="T63" s="669"/>
      <c r="U63" s="669"/>
      <c r="V63" s="293"/>
      <c r="W63" s="668"/>
      <c r="X63" s="668"/>
      <c r="Y63" s="668"/>
      <c r="Z63" s="668"/>
      <c r="AA63" s="668"/>
      <c r="AB63" s="668"/>
      <c r="AC63" s="114" t="str">
        <f>IFERROR(VLOOKUP(Z63,【参考】数式用!$A$4:$B$57,2,FALSE),"")</f>
        <v/>
      </c>
      <c r="AD63" s="291"/>
      <c r="AE63" s="297"/>
      <c r="AF63" s="294">
        <f t="shared" si="0"/>
        <v>0</v>
      </c>
      <c r="AG63" s="522"/>
      <c r="AP63" s="104" t="str">
        <f>IF($L$16="", "", VLOOKUP(Z63,【参考】数式用!$A$2:$O$57,14,FALSE))</f>
        <v/>
      </c>
      <c r="AQ63" s="28" t="e">
        <f>VLOOKUP(Z63,【参考】数式用!$A$2:$O$57,15,FALSE)</f>
        <v>#N/A</v>
      </c>
    </row>
    <row r="64" spans="1:43" ht="49.95" customHeight="1">
      <c r="A64" s="51">
        <f t="shared" si="1"/>
        <v>30</v>
      </c>
      <c r="B64" s="689"/>
      <c r="C64" s="690"/>
      <c r="D64" s="690"/>
      <c r="E64" s="690"/>
      <c r="F64" s="690"/>
      <c r="G64" s="690"/>
      <c r="H64" s="690"/>
      <c r="I64" s="690"/>
      <c r="J64" s="690"/>
      <c r="K64" s="690"/>
      <c r="L64" s="688"/>
      <c r="M64" s="688"/>
      <c r="N64" s="688"/>
      <c r="O64" s="688"/>
      <c r="P64" s="688"/>
      <c r="Q64" s="669"/>
      <c r="R64" s="669"/>
      <c r="S64" s="669"/>
      <c r="T64" s="669"/>
      <c r="U64" s="669"/>
      <c r="V64" s="293"/>
      <c r="W64" s="668"/>
      <c r="X64" s="668"/>
      <c r="Y64" s="668"/>
      <c r="Z64" s="668"/>
      <c r="AA64" s="668"/>
      <c r="AB64" s="668"/>
      <c r="AC64" s="114" t="str">
        <f>IFERROR(VLOOKUP(Z64,【参考】数式用!$A$4:$B$57,2,FALSE),"")</f>
        <v/>
      </c>
      <c r="AD64" s="291"/>
      <c r="AE64" s="297"/>
      <c r="AF64" s="294">
        <f t="shared" si="0"/>
        <v>0</v>
      </c>
      <c r="AG64" s="522"/>
      <c r="AP64" s="104" t="str">
        <f>IF($L$16="", "", VLOOKUP(Z64,【参考】数式用!$A$2:$O$57,14,FALSE))</f>
        <v/>
      </c>
      <c r="AQ64" s="28" t="e">
        <f>VLOOKUP(Z64,【参考】数式用!$A$2:$O$57,15,FALSE)</f>
        <v>#N/A</v>
      </c>
    </row>
    <row r="65" spans="1:43" ht="49.95" customHeight="1">
      <c r="A65" s="51">
        <f t="shared" si="1"/>
        <v>31</v>
      </c>
      <c r="B65" s="689"/>
      <c r="C65" s="690"/>
      <c r="D65" s="690"/>
      <c r="E65" s="690"/>
      <c r="F65" s="690"/>
      <c r="G65" s="690"/>
      <c r="H65" s="690"/>
      <c r="I65" s="690"/>
      <c r="J65" s="690"/>
      <c r="K65" s="690"/>
      <c r="L65" s="688"/>
      <c r="M65" s="688"/>
      <c r="N65" s="688"/>
      <c r="O65" s="688"/>
      <c r="P65" s="688"/>
      <c r="Q65" s="669"/>
      <c r="R65" s="669"/>
      <c r="S65" s="669"/>
      <c r="T65" s="669"/>
      <c r="U65" s="669"/>
      <c r="V65" s="293"/>
      <c r="W65" s="668"/>
      <c r="X65" s="668"/>
      <c r="Y65" s="668"/>
      <c r="Z65" s="668"/>
      <c r="AA65" s="668"/>
      <c r="AB65" s="668"/>
      <c r="AC65" s="114" t="str">
        <f>IFERROR(VLOOKUP(Z65,【参考】数式用!$A$4:$B$57,2,FALSE),"")</f>
        <v/>
      </c>
      <c r="AD65" s="291"/>
      <c r="AE65" s="297"/>
      <c r="AF65" s="294">
        <f t="shared" si="0"/>
        <v>0</v>
      </c>
      <c r="AG65" s="522"/>
      <c r="AP65" s="104" t="str">
        <f>IF($L$16="", "", VLOOKUP(Z65,【参考】数式用!$A$2:$O$57,14,FALSE))</f>
        <v/>
      </c>
      <c r="AQ65" s="28" t="e">
        <f>VLOOKUP(Z65,【参考】数式用!$A$2:$O$57,15,FALSE)</f>
        <v>#N/A</v>
      </c>
    </row>
    <row r="66" spans="1:43" ht="49.95" customHeight="1">
      <c r="A66" s="51">
        <f t="shared" si="1"/>
        <v>32</v>
      </c>
      <c r="B66" s="689"/>
      <c r="C66" s="690"/>
      <c r="D66" s="690"/>
      <c r="E66" s="690"/>
      <c r="F66" s="690"/>
      <c r="G66" s="690"/>
      <c r="H66" s="690"/>
      <c r="I66" s="690"/>
      <c r="J66" s="690"/>
      <c r="K66" s="690"/>
      <c r="L66" s="688"/>
      <c r="M66" s="688"/>
      <c r="N66" s="688"/>
      <c r="O66" s="688"/>
      <c r="P66" s="688"/>
      <c r="Q66" s="669"/>
      <c r="R66" s="669"/>
      <c r="S66" s="669"/>
      <c r="T66" s="669"/>
      <c r="U66" s="669"/>
      <c r="V66" s="293"/>
      <c r="W66" s="668"/>
      <c r="X66" s="668"/>
      <c r="Y66" s="668"/>
      <c r="Z66" s="668"/>
      <c r="AA66" s="668"/>
      <c r="AB66" s="668"/>
      <c r="AC66" s="114" t="str">
        <f>IFERROR(VLOOKUP(Z66,【参考】数式用!$A$4:$B$57,2,FALSE),"")</f>
        <v/>
      </c>
      <c r="AD66" s="291"/>
      <c r="AE66" s="297"/>
      <c r="AF66" s="294">
        <f t="shared" si="0"/>
        <v>0</v>
      </c>
      <c r="AG66" s="522"/>
      <c r="AP66" s="104" t="str">
        <f>IF($L$16="", "", VLOOKUP(Z66,【参考】数式用!$A$2:$O$57,14,FALSE))</f>
        <v/>
      </c>
      <c r="AQ66" s="28" t="e">
        <f>VLOOKUP(Z66,【参考】数式用!$A$2:$O$57,15,FALSE)</f>
        <v>#N/A</v>
      </c>
    </row>
    <row r="67" spans="1:43" ht="49.95" customHeight="1">
      <c r="A67" s="51">
        <f t="shared" si="1"/>
        <v>33</v>
      </c>
      <c r="B67" s="689"/>
      <c r="C67" s="690"/>
      <c r="D67" s="690"/>
      <c r="E67" s="690"/>
      <c r="F67" s="690"/>
      <c r="G67" s="690"/>
      <c r="H67" s="690"/>
      <c r="I67" s="690"/>
      <c r="J67" s="690"/>
      <c r="K67" s="690"/>
      <c r="L67" s="688"/>
      <c r="M67" s="688"/>
      <c r="N67" s="688"/>
      <c r="O67" s="688"/>
      <c r="P67" s="688"/>
      <c r="Q67" s="669"/>
      <c r="R67" s="669"/>
      <c r="S67" s="669"/>
      <c r="T67" s="669"/>
      <c r="U67" s="669"/>
      <c r="V67" s="293"/>
      <c r="W67" s="668"/>
      <c r="X67" s="668"/>
      <c r="Y67" s="668"/>
      <c r="Z67" s="668"/>
      <c r="AA67" s="668"/>
      <c r="AB67" s="668"/>
      <c r="AC67" s="114" t="str">
        <f>IFERROR(VLOOKUP(Z67,【参考】数式用!$A$4:$B$57,2,FALSE),"")</f>
        <v/>
      </c>
      <c r="AD67" s="291"/>
      <c r="AE67" s="297"/>
      <c r="AF67" s="294">
        <f t="shared" si="0"/>
        <v>0</v>
      </c>
      <c r="AG67" s="522"/>
      <c r="AP67" s="104" t="str">
        <f>IF($L$16="", "", VLOOKUP(Z67,【参考】数式用!$A$2:$O$57,14,FALSE))</f>
        <v/>
      </c>
      <c r="AQ67" s="28" t="e">
        <f>VLOOKUP(Z67,【参考】数式用!$A$2:$O$57,15,FALSE)</f>
        <v>#N/A</v>
      </c>
    </row>
    <row r="68" spans="1:43" ht="49.95" customHeight="1">
      <c r="A68" s="51">
        <f t="shared" si="1"/>
        <v>34</v>
      </c>
      <c r="B68" s="689"/>
      <c r="C68" s="690"/>
      <c r="D68" s="690"/>
      <c r="E68" s="690"/>
      <c r="F68" s="690"/>
      <c r="G68" s="690"/>
      <c r="H68" s="690"/>
      <c r="I68" s="690"/>
      <c r="J68" s="690"/>
      <c r="K68" s="690"/>
      <c r="L68" s="688"/>
      <c r="M68" s="688"/>
      <c r="N68" s="688"/>
      <c r="O68" s="688"/>
      <c r="P68" s="688"/>
      <c r="Q68" s="669"/>
      <c r="R68" s="669"/>
      <c r="S68" s="669"/>
      <c r="T68" s="669"/>
      <c r="U68" s="669"/>
      <c r="V68" s="293"/>
      <c r="W68" s="668"/>
      <c r="X68" s="668"/>
      <c r="Y68" s="668"/>
      <c r="Z68" s="668"/>
      <c r="AA68" s="668"/>
      <c r="AB68" s="668"/>
      <c r="AC68" s="114" t="str">
        <f>IFERROR(VLOOKUP(Z68,【参考】数式用!$A$4:$B$57,2,FALSE),"")</f>
        <v/>
      </c>
      <c r="AD68" s="291"/>
      <c r="AE68" s="297"/>
      <c r="AF68" s="294">
        <f t="shared" si="0"/>
        <v>0</v>
      </c>
      <c r="AG68" s="522"/>
      <c r="AP68" s="104" t="str">
        <f>IF($L$16="", "", VLOOKUP(Z68,【参考】数式用!$A$2:$O$57,14,FALSE))</f>
        <v/>
      </c>
      <c r="AQ68" s="28" t="e">
        <f>VLOOKUP(Z68,【参考】数式用!$A$2:$O$57,15,FALSE)</f>
        <v>#N/A</v>
      </c>
    </row>
    <row r="69" spans="1:43" ht="49.95" customHeight="1">
      <c r="A69" s="51">
        <f t="shared" si="1"/>
        <v>35</v>
      </c>
      <c r="B69" s="689"/>
      <c r="C69" s="690"/>
      <c r="D69" s="690"/>
      <c r="E69" s="690"/>
      <c r="F69" s="690"/>
      <c r="G69" s="690"/>
      <c r="H69" s="690"/>
      <c r="I69" s="690"/>
      <c r="J69" s="690"/>
      <c r="K69" s="690"/>
      <c r="L69" s="688"/>
      <c r="M69" s="688"/>
      <c r="N69" s="688"/>
      <c r="O69" s="688"/>
      <c r="P69" s="688"/>
      <c r="Q69" s="669"/>
      <c r="R69" s="669"/>
      <c r="S69" s="669"/>
      <c r="T69" s="669"/>
      <c r="U69" s="669"/>
      <c r="V69" s="293"/>
      <c r="W69" s="668"/>
      <c r="X69" s="668"/>
      <c r="Y69" s="668"/>
      <c r="Z69" s="668"/>
      <c r="AA69" s="668"/>
      <c r="AB69" s="668"/>
      <c r="AC69" s="114" t="str">
        <f>IFERROR(VLOOKUP(Z69,【参考】数式用!$A$4:$B$57,2,FALSE),"")</f>
        <v/>
      </c>
      <c r="AD69" s="291"/>
      <c r="AE69" s="297"/>
      <c r="AF69" s="294">
        <f t="shared" si="0"/>
        <v>0</v>
      </c>
      <c r="AG69" s="522"/>
      <c r="AP69" s="104" t="str">
        <f>IF($L$16="", "", VLOOKUP(Z69,【参考】数式用!$A$2:$O$57,14,FALSE))</f>
        <v/>
      </c>
      <c r="AQ69" s="28" t="e">
        <f>VLOOKUP(Z69,【参考】数式用!$A$2:$O$57,15,FALSE)</f>
        <v>#N/A</v>
      </c>
    </row>
    <row r="70" spans="1:43" ht="49.95" customHeight="1">
      <c r="A70" s="51">
        <f t="shared" si="1"/>
        <v>36</v>
      </c>
      <c r="B70" s="689"/>
      <c r="C70" s="690"/>
      <c r="D70" s="690"/>
      <c r="E70" s="690"/>
      <c r="F70" s="690"/>
      <c r="G70" s="690"/>
      <c r="H70" s="690"/>
      <c r="I70" s="690"/>
      <c r="J70" s="690"/>
      <c r="K70" s="690"/>
      <c r="L70" s="688"/>
      <c r="M70" s="688"/>
      <c r="N70" s="688"/>
      <c r="O70" s="688"/>
      <c r="P70" s="688"/>
      <c r="Q70" s="669"/>
      <c r="R70" s="669"/>
      <c r="S70" s="669"/>
      <c r="T70" s="669"/>
      <c r="U70" s="669"/>
      <c r="V70" s="293"/>
      <c r="W70" s="668"/>
      <c r="X70" s="668"/>
      <c r="Y70" s="668"/>
      <c r="Z70" s="668"/>
      <c r="AA70" s="668"/>
      <c r="AB70" s="668"/>
      <c r="AC70" s="114" t="str">
        <f>IFERROR(VLOOKUP(Z70,【参考】数式用!$A$4:$B$57,2,FALSE),"")</f>
        <v/>
      </c>
      <c r="AD70" s="291"/>
      <c r="AE70" s="297"/>
      <c r="AF70" s="294">
        <f t="shared" si="0"/>
        <v>0</v>
      </c>
      <c r="AG70" s="522"/>
      <c r="AP70" s="104" t="str">
        <f>IF($L$16="", "", VLOOKUP(Z70,【参考】数式用!$A$2:$O$57,14,FALSE))</f>
        <v/>
      </c>
      <c r="AQ70" s="28" t="e">
        <f>VLOOKUP(Z70,【参考】数式用!$A$2:$O$57,15,FALSE)</f>
        <v>#N/A</v>
      </c>
    </row>
    <row r="71" spans="1:43" ht="49.95" customHeight="1">
      <c r="A71" s="51">
        <f t="shared" si="1"/>
        <v>37</v>
      </c>
      <c r="B71" s="689"/>
      <c r="C71" s="690"/>
      <c r="D71" s="690"/>
      <c r="E71" s="690"/>
      <c r="F71" s="690"/>
      <c r="G71" s="690"/>
      <c r="H71" s="690"/>
      <c r="I71" s="690"/>
      <c r="J71" s="690"/>
      <c r="K71" s="690"/>
      <c r="L71" s="688"/>
      <c r="M71" s="688"/>
      <c r="N71" s="688"/>
      <c r="O71" s="688"/>
      <c r="P71" s="688"/>
      <c r="Q71" s="669"/>
      <c r="R71" s="669"/>
      <c r="S71" s="669"/>
      <c r="T71" s="669"/>
      <c r="U71" s="669"/>
      <c r="V71" s="293"/>
      <c r="W71" s="668"/>
      <c r="X71" s="668"/>
      <c r="Y71" s="668"/>
      <c r="Z71" s="668"/>
      <c r="AA71" s="668"/>
      <c r="AB71" s="668"/>
      <c r="AC71" s="114" t="str">
        <f>IFERROR(VLOOKUP(Z71,【参考】数式用!$A$4:$B$57,2,FALSE),"")</f>
        <v/>
      </c>
      <c r="AD71" s="291"/>
      <c r="AE71" s="297"/>
      <c r="AF71" s="294">
        <f t="shared" si="0"/>
        <v>0</v>
      </c>
      <c r="AG71" s="522"/>
      <c r="AP71" s="104" t="str">
        <f>IF($L$16="", "", VLOOKUP(Z71,【参考】数式用!$A$2:$O$57,14,FALSE))</f>
        <v/>
      </c>
      <c r="AQ71" s="28" t="e">
        <f>VLOOKUP(Z71,【参考】数式用!$A$2:$O$57,15,FALSE)</f>
        <v>#N/A</v>
      </c>
    </row>
    <row r="72" spans="1:43" ht="49.95" customHeight="1">
      <c r="A72" s="51">
        <f t="shared" si="1"/>
        <v>38</v>
      </c>
      <c r="B72" s="689"/>
      <c r="C72" s="690"/>
      <c r="D72" s="690"/>
      <c r="E72" s="690"/>
      <c r="F72" s="690"/>
      <c r="G72" s="690"/>
      <c r="H72" s="690"/>
      <c r="I72" s="690"/>
      <c r="J72" s="690"/>
      <c r="K72" s="690"/>
      <c r="L72" s="688"/>
      <c r="M72" s="688"/>
      <c r="N72" s="688"/>
      <c r="O72" s="688"/>
      <c r="P72" s="688"/>
      <c r="Q72" s="669"/>
      <c r="R72" s="669"/>
      <c r="S72" s="669"/>
      <c r="T72" s="669"/>
      <c r="U72" s="669"/>
      <c r="V72" s="293"/>
      <c r="W72" s="668"/>
      <c r="X72" s="668"/>
      <c r="Y72" s="668"/>
      <c r="Z72" s="668"/>
      <c r="AA72" s="668"/>
      <c r="AB72" s="668"/>
      <c r="AC72" s="114" t="str">
        <f>IFERROR(VLOOKUP(Z72,【参考】数式用!$A$4:$B$57,2,FALSE),"")</f>
        <v/>
      </c>
      <c r="AD72" s="291"/>
      <c r="AE72" s="297"/>
      <c r="AF72" s="294">
        <f t="shared" si="0"/>
        <v>0</v>
      </c>
      <c r="AG72" s="522"/>
      <c r="AP72" s="104" t="str">
        <f>IF($L$16="", "", VLOOKUP(Z72,【参考】数式用!$A$2:$O$57,14,FALSE))</f>
        <v/>
      </c>
      <c r="AQ72" s="28" t="e">
        <f>VLOOKUP(Z72,【参考】数式用!$A$2:$O$57,15,FALSE)</f>
        <v>#N/A</v>
      </c>
    </row>
    <row r="73" spans="1:43" ht="49.95" customHeight="1">
      <c r="A73" s="51">
        <f t="shared" si="1"/>
        <v>39</v>
      </c>
      <c r="B73" s="689"/>
      <c r="C73" s="690"/>
      <c r="D73" s="690"/>
      <c r="E73" s="690"/>
      <c r="F73" s="690"/>
      <c r="G73" s="690"/>
      <c r="H73" s="690"/>
      <c r="I73" s="690"/>
      <c r="J73" s="690"/>
      <c r="K73" s="690"/>
      <c r="L73" s="688"/>
      <c r="M73" s="688"/>
      <c r="N73" s="688"/>
      <c r="O73" s="688"/>
      <c r="P73" s="688"/>
      <c r="Q73" s="669"/>
      <c r="R73" s="669"/>
      <c r="S73" s="669"/>
      <c r="T73" s="669"/>
      <c r="U73" s="669"/>
      <c r="V73" s="293"/>
      <c r="W73" s="668"/>
      <c r="X73" s="668"/>
      <c r="Y73" s="668"/>
      <c r="Z73" s="668"/>
      <c r="AA73" s="668"/>
      <c r="AB73" s="668"/>
      <c r="AC73" s="114" t="str">
        <f>IFERROR(VLOOKUP(Z73,【参考】数式用!$A$4:$B$57,2,FALSE),"")</f>
        <v/>
      </c>
      <c r="AD73" s="291"/>
      <c r="AE73" s="297"/>
      <c r="AF73" s="294">
        <f t="shared" si="0"/>
        <v>0</v>
      </c>
      <c r="AG73" s="522"/>
      <c r="AP73" s="104" t="str">
        <f>IF($L$16="", "", VLOOKUP(Z73,【参考】数式用!$A$2:$O$57,14,FALSE))</f>
        <v/>
      </c>
      <c r="AQ73" s="28" t="e">
        <f>VLOOKUP(Z73,【参考】数式用!$A$2:$O$57,15,FALSE)</f>
        <v>#N/A</v>
      </c>
    </row>
    <row r="74" spans="1:43" ht="49.95" customHeight="1">
      <c r="A74" s="51">
        <f t="shared" si="1"/>
        <v>40</v>
      </c>
      <c r="B74" s="689"/>
      <c r="C74" s="690"/>
      <c r="D74" s="690"/>
      <c r="E74" s="690"/>
      <c r="F74" s="690"/>
      <c r="G74" s="690"/>
      <c r="H74" s="690"/>
      <c r="I74" s="690"/>
      <c r="J74" s="690"/>
      <c r="K74" s="690"/>
      <c r="L74" s="688"/>
      <c r="M74" s="688"/>
      <c r="N74" s="688"/>
      <c r="O74" s="688"/>
      <c r="P74" s="688"/>
      <c r="Q74" s="669"/>
      <c r="R74" s="669"/>
      <c r="S74" s="669"/>
      <c r="T74" s="669"/>
      <c r="U74" s="669"/>
      <c r="V74" s="293"/>
      <c r="W74" s="668"/>
      <c r="X74" s="668"/>
      <c r="Y74" s="668"/>
      <c r="Z74" s="668"/>
      <c r="AA74" s="668"/>
      <c r="AB74" s="668"/>
      <c r="AC74" s="114" t="str">
        <f>IFERROR(VLOOKUP(Z74,【参考】数式用!$A$4:$B$57,2,FALSE),"")</f>
        <v/>
      </c>
      <c r="AD74" s="291"/>
      <c r="AE74" s="297"/>
      <c r="AF74" s="294">
        <f t="shared" si="0"/>
        <v>0</v>
      </c>
      <c r="AG74" s="522"/>
      <c r="AP74" s="104" t="str">
        <f>IF($L$16="", "", VLOOKUP(Z74,【参考】数式用!$A$2:$O$57,14,FALSE))</f>
        <v/>
      </c>
      <c r="AQ74" s="28" t="e">
        <f>VLOOKUP(Z74,【参考】数式用!$A$2:$O$57,15,FALSE)</f>
        <v>#N/A</v>
      </c>
    </row>
    <row r="75" spans="1:43" ht="49.95" customHeight="1">
      <c r="A75" s="51">
        <f t="shared" si="1"/>
        <v>41</v>
      </c>
      <c r="B75" s="689"/>
      <c r="C75" s="690"/>
      <c r="D75" s="690"/>
      <c r="E75" s="690"/>
      <c r="F75" s="690"/>
      <c r="G75" s="690"/>
      <c r="H75" s="690"/>
      <c r="I75" s="690"/>
      <c r="J75" s="690"/>
      <c r="K75" s="690"/>
      <c r="L75" s="688"/>
      <c r="M75" s="688"/>
      <c r="N75" s="688"/>
      <c r="O75" s="688"/>
      <c r="P75" s="688"/>
      <c r="Q75" s="669"/>
      <c r="R75" s="669"/>
      <c r="S75" s="669"/>
      <c r="T75" s="669"/>
      <c r="U75" s="669"/>
      <c r="V75" s="293"/>
      <c r="W75" s="668"/>
      <c r="X75" s="668"/>
      <c r="Y75" s="668"/>
      <c r="Z75" s="668"/>
      <c r="AA75" s="668"/>
      <c r="AB75" s="668"/>
      <c r="AC75" s="114" t="str">
        <f>IFERROR(VLOOKUP(Z75,【参考】数式用!$A$4:$B$57,2,FALSE),"")</f>
        <v/>
      </c>
      <c r="AD75" s="291"/>
      <c r="AE75" s="297"/>
      <c r="AF75" s="294">
        <f t="shared" si="0"/>
        <v>0</v>
      </c>
      <c r="AG75" s="522"/>
      <c r="AP75" s="104" t="str">
        <f>IF($L$16="", "", VLOOKUP(Z75,【参考】数式用!$A$2:$O$57,14,FALSE))</f>
        <v/>
      </c>
      <c r="AQ75" s="28" t="e">
        <f>VLOOKUP(Z75,【参考】数式用!$A$2:$O$57,15,FALSE)</f>
        <v>#N/A</v>
      </c>
    </row>
    <row r="76" spans="1:43" ht="49.95" customHeight="1">
      <c r="A76" s="51">
        <f t="shared" si="1"/>
        <v>42</v>
      </c>
      <c r="B76" s="689"/>
      <c r="C76" s="690"/>
      <c r="D76" s="690"/>
      <c r="E76" s="690"/>
      <c r="F76" s="690"/>
      <c r="G76" s="690"/>
      <c r="H76" s="690"/>
      <c r="I76" s="690"/>
      <c r="J76" s="690"/>
      <c r="K76" s="690"/>
      <c r="L76" s="688"/>
      <c r="M76" s="688"/>
      <c r="N76" s="688"/>
      <c r="O76" s="688"/>
      <c r="P76" s="688"/>
      <c r="Q76" s="669"/>
      <c r="R76" s="669"/>
      <c r="S76" s="669"/>
      <c r="T76" s="669"/>
      <c r="U76" s="669"/>
      <c r="V76" s="293"/>
      <c r="W76" s="668"/>
      <c r="X76" s="668"/>
      <c r="Y76" s="668"/>
      <c r="Z76" s="668"/>
      <c r="AA76" s="668"/>
      <c r="AB76" s="668"/>
      <c r="AC76" s="114" t="str">
        <f>IFERROR(VLOOKUP(Z76,【参考】数式用!$A$4:$B$57,2,FALSE),"")</f>
        <v/>
      </c>
      <c r="AD76" s="291"/>
      <c r="AE76" s="297"/>
      <c r="AF76" s="294">
        <f t="shared" si="0"/>
        <v>0</v>
      </c>
      <c r="AG76" s="522"/>
      <c r="AP76" s="104" t="str">
        <f>IF($L$16="", "", VLOOKUP(Z76,【参考】数式用!$A$2:$O$57,14,FALSE))</f>
        <v/>
      </c>
      <c r="AQ76" s="28" t="e">
        <f>VLOOKUP(Z76,【参考】数式用!$A$2:$O$57,15,FALSE)</f>
        <v>#N/A</v>
      </c>
    </row>
    <row r="77" spans="1:43" ht="49.95" customHeight="1">
      <c r="A77" s="51">
        <f t="shared" si="1"/>
        <v>43</v>
      </c>
      <c r="B77" s="689"/>
      <c r="C77" s="690"/>
      <c r="D77" s="690"/>
      <c r="E77" s="690"/>
      <c r="F77" s="690"/>
      <c r="G77" s="690"/>
      <c r="H77" s="690"/>
      <c r="I77" s="690"/>
      <c r="J77" s="690"/>
      <c r="K77" s="690"/>
      <c r="L77" s="688"/>
      <c r="M77" s="688"/>
      <c r="N77" s="688"/>
      <c r="O77" s="688"/>
      <c r="P77" s="688"/>
      <c r="Q77" s="669"/>
      <c r="R77" s="669"/>
      <c r="S77" s="669"/>
      <c r="T77" s="669"/>
      <c r="U77" s="669"/>
      <c r="V77" s="293"/>
      <c r="W77" s="668"/>
      <c r="X77" s="668"/>
      <c r="Y77" s="668"/>
      <c r="Z77" s="668"/>
      <c r="AA77" s="668"/>
      <c r="AB77" s="668"/>
      <c r="AC77" s="114" t="str">
        <f>IFERROR(VLOOKUP(Z77,【参考】数式用!$A$4:$B$57,2,FALSE),"")</f>
        <v/>
      </c>
      <c r="AD77" s="291"/>
      <c r="AE77" s="297"/>
      <c r="AF77" s="294">
        <f t="shared" si="0"/>
        <v>0</v>
      </c>
      <c r="AG77" s="522"/>
      <c r="AP77" s="104" t="str">
        <f>IF($L$16="", "", VLOOKUP(Z77,【参考】数式用!$A$2:$O$57,14,FALSE))</f>
        <v/>
      </c>
      <c r="AQ77" s="28" t="e">
        <f>VLOOKUP(Z77,【参考】数式用!$A$2:$O$57,15,FALSE)</f>
        <v>#N/A</v>
      </c>
    </row>
    <row r="78" spans="1:43" ht="49.95" customHeight="1">
      <c r="A78" s="51">
        <f t="shared" si="1"/>
        <v>44</v>
      </c>
      <c r="B78" s="689"/>
      <c r="C78" s="690"/>
      <c r="D78" s="690"/>
      <c r="E78" s="690"/>
      <c r="F78" s="690"/>
      <c r="G78" s="690"/>
      <c r="H78" s="690"/>
      <c r="I78" s="690"/>
      <c r="J78" s="690"/>
      <c r="K78" s="690"/>
      <c r="L78" s="688"/>
      <c r="M78" s="688"/>
      <c r="N78" s="688"/>
      <c r="O78" s="688"/>
      <c r="P78" s="688"/>
      <c r="Q78" s="669"/>
      <c r="R78" s="669"/>
      <c r="S78" s="669"/>
      <c r="T78" s="669"/>
      <c r="U78" s="669"/>
      <c r="V78" s="293"/>
      <c r="W78" s="668"/>
      <c r="X78" s="668"/>
      <c r="Y78" s="668"/>
      <c r="Z78" s="668"/>
      <c r="AA78" s="668"/>
      <c r="AB78" s="668"/>
      <c r="AC78" s="114" t="str">
        <f>IFERROR(VLOOKUP(Z78,【参考】数式用!$A$4:$B$57,2,FALSE),"")</f>
        <v/>
      </c>
      <c r="AD78" s="291"/>
      <c r="AE78" s="297"/>
      <c r="AF78" s="294">
        <f t="shared" si="0"/>
        <v>0</v>
      </c>
      <c r="AG78" s="522"/>
      <c r="AP78" s="104" t="str">
        <f>IF($L$16="", "", VLOOKUP(Z78,【参考】数式用!$A$2:$O$57,14,FALSE))</f>
        <v/>
      </c>
      <c r="AQ78" s="28" t="e">
        <f>VLOOKUP(Z78,【参考】数式用!$A$2:$O$57,15,FALSE)</f>
        <v>#N/A</v>
      </c>
    </row>
    <row r="79" spans="1:43" ht="49.95" customHeight="1">
      <c r="A79" s="51">
        <f t="shared" si="1"/>
        <v>45</v>
      </c>
      <c r="B79" s="689"/>
      <c r="C79" s="690"/>
      <c r="D79" s="690"/>
      <c r="E79" s="690"/>
      <c r="F79" s="690"/>
      <c r="G79" s="690"/>
      <c r="H79" s="690"/>
      <c r="I79" s="690"/>
      <c r="J79" s="690"/>
      <c r="K79" s="690"/>
      <c r="L79" s="688"/>
      <c r="M79" s="688"/>
      <c r="N79" s="688"/>
      <c r="O79" s="688"/>
      <c r="P79" s="688"/>
      <c r="Q79" s="669"/>
      <c r="R79" s="669"/>
      <c r="S79" s="669"/>
      <c r="T79" s="669"/>
      <c r="U79" s="669"/>
      <c r="V79" s="293"/>
      <c r="W79" s="668"/>
      <c r="X79" s="668"/>
      <c r="Y79" s="668"/>
      <c r="Z79" s="668"/>
      <c r="AA79" s="668"/>
      <c r="AB79" s="668"/>
      <c r="AC79" s="114" t="str">
        <f>IFERROR(VLOOKUP(Z79,【参考】数式用!$A$4:$B$57,2,FALSE),"")</f>
        <v/>
      </c>
      <c r="AD79" s="291"/>
      <c r="AE79" s="297"/>
      <c r="AF79" s="294">
        <f t="shared" si="0"/>
        <v>0</v>
      </c>
      <c r="AG79" s="522"/>
      <c r="AP79" s="104" t="str">
        <f>IF($L$16="", "", VLOOKUP(Z79,【参考】数式用!$A$2:$O$57,14,FALSE))</f>
        <v/>
      </c>
      <c r="AQ79" s="28" t="e">
        <f>VLOOKUP(Z79,【参考】数式用!$A$2:$O$57,15,FALSE)</f>
        <v>#N/A</v>
      </c>
    </row>
    <row r="80" spans="1:43" ht="49.95" customHeight="1">
      <c r="A80" s="51">
        <f t="shared" si="1"/>
        <v>46</v>
      </c>
      <c r="B80" s="689"/>
      <c r="C80" s="690"/>
      <c r="D80" s="690"/>
      <c r="E80" s="690"/>
      <c r="F80" s="690"/>
      <c r="G80" s="690"/>
      <c r="H80" s="690"/>
      <c r="I80" s="690"/>
      <c r="J80" s="690"/>
      <c r="K80" s="690"/>
      <c r="L80" s="688"/>
      <c r="M80" s="688"/>
      <c r="N80" s="688"/>
      <c r="O80" s="688"/>
      <c r="P80" s="688"/>
      <c r="Q80" s="669"/>
      <c r="R80" s="669"/>
      <c r="S80" s="669"/>
      <c r="T80" s="669"/>
      <c r="U80" s="669"/>
      <c r="V80" s="293"/>
      <c r="W80" s="668"/>
      <c r="X80" s="668"/>
      <c r="Y80" s="668"/>
      <c r="Z80" s="668"/>
      <c r="AA80" s="668"/>
      <c r="AB80" s="668"/>
      <c r="AC80" s="114" t="str">
        <f>IFERROR(VLOOKUP(Z80,【参考】数式用!$A$4:$B$57,2,FALSE),"")</f>
        <v/>
      </c>
      <c r="AD80" s="291"/>
      <c r="AE80" s="297"/>
      <c r="AF80" s="294">
        <f t="shared" si="0"/>
        <v>0</v>
      </c>
      <c r="AG80" s="522"/>
      <c r="AP80" s="104" t="str">
        <f>IF($L$16="", "", VLOOKUP(Z80,【参考】数式用!$A$2:$O$57,14,FALSE))</f>
        <v/>
      </c>
      <c r="AQ80" s="28" t="e">
        <f>VLOOKUP(Z80,【参考】数式用!$A$2:$O$57,15,FALSE)</f>
        <v>#N/A</v>
      </c>
    </row>
    <row r="81" spans="1:43" ht="49.95" customHeight="1">
      <c r="A81" s="51">
        <f t="shared" si="1"/>
        <v>47</v>
      </c>
      <c r="B81" s="689"/>
      <c r="C81" s="690"/>
      <c r="D81" s="690"/>
      <c r="E81" s="690"/>
      <c r="F81" s="690"/>
      <c r="G81" s="690"/>
      <c r="H81" s="690"/>
      <c r="I81" s="690"/>
      <c r="J81" s="690"/>
      <c r="K81" s="690"/>
      <c r="L81" s="688"/>
      <c r="M81" s="688"/>
      <c r="N81" s="688"/>
      <c r="O81" s="688"/>
      <c r="P81" s="688"/>
      <c r="Q81" s="669"/>
      <c r="R81" s="669"/>
      <c r="S81" s="669"/>
      <c r="T81" s="669"/>
      <c r="U81" s="669"/>
      <c r="V81" s="293"/>
      <c r="W81" s="668"/>
      <c r="X81" s="668"/>
      <c r="Y81" s="668"/>
      <c r="Z81" s="668"/>
      <c r="AA81" s="668"/>
      <c r="AB81" s="668"/>
      <c r="AC81" s="114" t="str">
        <f>IFERROR(VLOOKUP(Z81,【参考】数式用!$A$4:$B$57,2,FALSE),"")</f>
        <v/>
      </c>
      <c r="AD81" s="291"/>
      <c r="AE81" s="297"/>
      <c r="AF81" s="294">
        <f t="shared" si="0"/>
        <v>0</v>
      </c>
      <c r="AG81" s="522"/>
      <c r="AP81" s="104" t="str">
        <f>IF($L$16="", "", VLOOKUP(Z81,【参考】数式用!$A$2:$O$57,14,FALSE))</f>
        <v/>
      </c>
      <c r="AQ81" s="28" t="e">
        <f>VLOOKUP(Z81,【参考】数式用!$A$2:$O$57,15,FALSE)</f>
        <v>#N/A</v>
      </c>
    </row>
    <row r="82" spans="1:43" ht="49.95" customHeight="1">
      <c r="A82" s="51">
        <f t="shared" si="1"/>
        <v>48</v>
      </c>
      <c r="B82" s="689"/>
      <c r="C82" s="690"/>
      <c r="D82" s="690"/>
      <c r="E82" s="690"/>
      <c r="F82" s="690"/>
      <c r="G82" s="690"/>
      <c r="H82" s="690"/>
      <c r="I82" s="690"/>
      <c r="J82" s="690"/>
      <c r="K82" s="690"/>
      <c r="L82" s="688"/>
      <c r="M82" s="688"/>
      <c r="N82" s="688"/>
      <c r="O82" s="688"/>
      <c r="P82" s="688"/>
      <c r="Q82" s="669"/>
      <c r="R82" s="669"/>
      <c r="S82" s="669"/>
      <c r="T82" s="669"/>
      <c r="U82" s="669"/>
      <c r="V82" s="293"/>
      <c r="W82" s="668"/>
      <c r="X82" s="668"/>
      <c r="Y82" s="668"/>
      <c r="Z82" s="668"/>
      <c r="AA82" s="668"/>
      <c r="AB82" s="668"/>
      <c r="AC82" s="114" t="str">
        <f>IFERROR(VLOOKUP(Z82,【参考】数式用!$A$4:$B$57,2,FALSE),"")</f>
        <v/>
      </c>
      <c r="AD82" s="291"/>
      <c r="AE82" s="297"/>
      <c r="AF82" s="294">
        <f t="shared" si="0"/>
        <v>0</v>
      </c>
      <c r="AG82" s="522"/>
      <c r="AP82" s="104" t="str">
        <f>IF($L$16="", "", VLOOKUP(Z82,【参考】数式用!$A$2:$O$57,14,FALSE))</f>
        <v/>
      </c>
      <c r="AQ82" s="28" t="e">
        <f>VLOOKUP(Z82,【参考】数式用!$A$2:$O$57,15,FALSE)</f>
        <v>#N/A</v>
      </c>
    </row>
    <row r="83" spans="1:43" ht="49.95" customHeight="1">
      <c r="A83" s="51">
        <f t="shared" si="1"/>
        <v>49</v>
      </c>
      <c r="B83" s="689"/>
      <c r="C83" s="690"/>
      <c r="D83" s="690"/>
      <c r="E83" s="690"/>
      <c r="F83" s="690"/>
      <c r="G83" s="690"/>
      <c r="H83" s="690"/>
      <c r="I83" s="690"/>
      <c r="J83" s="690"/>
      <c r="K83" s="690"/>
      <c r="L83" s="688"/>
      <c r="M83" s="688"/>
      <c r="N83" s="688"/>
      <c r="O83" s="688"/>
      <c r="P83" s="688"/>
      <c r="Q83" s="669"/>
      <c r="R83" s="669"/>
      <c r="S83" s="669"/>
      <c r="T83" s="669"/>
      <c r="U83" s="669"/>
      <c r="V83" s="293"/>
      <c r="W83" s="668"/>
      <c r="X83" s="668"/>
      <c r="Y83" s="668"/>
      <c r="Z83" s="668"/>
      <c r="AA83" s="668"/>
      <c r="AB83" s="668"/>
      <c r="AC83" s="114" t="str">
        <f>IFERROR(VLOOKUP(Z83,【参考】数式用!$A$4:$B$57,2,FALSE),"")</f>
        <v/>
      </c>
      <c r="AD83" s="291"/>
      <c r="AE83" s="297"/>
      <c r="AF83" s="294">
        <f t="shared" si="0"/>
        <v>0</v>
      </c>
      <c r="AG83" s="522"/>
      <c r="AP83" s="104" t="str">
        <f>IF($L$16="", "", VLOOKUP(Z83,【参考】数式用!$A$2:$O$57,14,FALSE))</f>
        <v/>
      </c>
      <c r="AQ83" s="28" t="e">
        <f>VLOOKUP(Z83,【参考】数式用!$A$2:$O$57,15,FALSE)</f>
        <v>#N/A</v>
      </c>
    </row>
    <row r="84" spans="1:43" ht="49.95" customHeight="1">
      <c r="A84" s="51">
        <f t="shared" si="1"/>
        <v>50</v>
      </c>
      <c r="B84" s="689"/>
      <c r="C84" s="690"/>
      <c r="D84" s="690"/>
      <c r="E84" s="690"/>
      <c r="F84" s="690"/>
      <c r="G84" s="690"/>
      <c r="H84" s="690"/>
      <c r="I84" s="690"/>
      <c r="J84" s="690"/>
      <c r="K84" s="690"/>
      <c r="L84" s="688"/>
      <c r="M84" s="688"/>
      <c r="N84" s="688"/>
      <c r="O84" s="688"/>
      <c r="P84" s="688"/>
      <c r="Q84" s="669"/>
      <c r="R84" s="669"/>
      <c r="S84" s="669"/>
      <c r="T84" s="669"/>
      <c r="U84" s="669"/>
      <c r="V84" s="293"/>
      <c r="W84" s="668"/>
      <c r="X84" s="668"/>
      <c r="Y84" s="668"/>
      <c r="Z84" s="668"/>
      <c r="AA84" s="668"/>
      <c r="AB84" s="668"/>
      <c r="AC84" s="114" t="str">
        <f>IFERROR(VLOOKUP(Z84,【参考】数式用!$A$4:$B$57,2,FALSE),"")</f>
        <v/>
      </c>
      <c r="AD84" s="291"/>
      <c r="AE84" s="297"/>
      <c r="AF84" s="294">
        <f t="shared" si="0"/>
        <v>0</v>
      </c>
      <c r="AG84" s="522"/>
      <c r="AP84" s="104" t="str">
        <f>IF($L$16="", "", VLOOKUP(Z84,【参考】数式用!$A$2:$O$57,14,FALSE))</f>
        <v/>
      </c>
      <c r="AQ84" s="28" t="e">
        <f>VLOOKUP(Z84,【参考】数式用!$A$2:$O$57,15,FALSE)</f>
        <v>#N/A</v>
      </c>
    </row>
    <row r="85" spans="1:43" ht="49.95" customHeight="1">
      <c r="A85" s="51">
        <f t="shared" si="1"/>
        <v>51</v>
      </c>
      <c r="B85" s="689"/>
      <c r="C85" s="690"/>
      <c r="D85" s="690"/>
      <c r="E85" s="690"/>
      <c r="F85" s="690"/>
      <c r="G85" s="690"/>
      <c r="H85" s="690"/>
      <c r="I85" s="690"/>
      <c r="J85" s="690"/>
      <c r="K85" s="690"/>
      <c r="L85" s="688"/>
      <c r="M85" s="688"/>
      <c r="N85" s="688"/>
      <c r="O85" s="688"/>
      <c r="P85" s="688"/>
      <c r="Q85" s="669"/>
      <c r="R85" s="669"/>
      <c r="S85" s="669"/>
      <c r="T85" s="669"/>
      <c r="U85" s="669"/>
      <c r="V85" s="293"/>
      <c r="W85" s="668"/>
      <c r="X85" s="668"/>
      <c r="Y85" s="668"/>
      <c r="Z85" s="668"/>
      <c r="AA85" s="668"/>
      <c r="AB85" s="668"/>
      <c r="AC85" s="114" t="str">
        <f>IFERROR(VLOOKUP(Z85,【参考】数式用!$A$4:$B$57,2,FALSE),"")</f>
        <v/>
      </c>
      <c r="AD85" s="291"/>
      <c r="AE85" s="297"/>
      <c r="AF85" s="294">
        <f t="shared" si="0"/>
        <v>0</v>
      </c>
      <c r="AG85" s="522"/>
      <c r="AP85" s="104" t="str">
        <f>IF($L$16="", "", VLOOKUP(Z85,【参考】数式用!$A$2:$O$57,14,FALSE))</f>
        <v/>
      </c>
      <c r="AQ85" s="28" t="e">
        <f>VLOOKUP(Z85,【参考】数式用!$A$2:$O$57,15,FALSE)</f>
        <v>#N/A</v>
      </c>
    </row>
    <row r="86" spans="1:43" ht="49.95" customHeight="1">
      <c r="A86" s="51">
        <f t="shared" si="1"/>
        <v>52</v>
      </c>
      <c r="B86" s="689"/>
      <c r="C86" s="690"/>
      <c r="D86" s="690"/>
      <c r="E86" s="690"/>
      <c r="F86" s="690"/>
      <c r="G86" s="690"/>
      <c r="H86" s="690"/>
      <c r="I86" s="690"/>
      <c r="J86" s="690"/>
      <c r="K86" s="690"/>
      <c r="L86" s="688"/>
      <c r="M86" s="688"/>
      <c r="N86" s="688"/>
      <c r="O86" s="688"/>
      <c r="P86" s="688"/>
      <c r="Q86" s="669"/>
      <c r="R86" s="669"/>
      <c r="S86" s="669"/>
      <c r="T86" s="669"/>
      <c r="U86" s="669"/>
      <c r="V86" s="293"/>
      <c r="W86" s="668"/>
      <c r="X86" s="668"/>
      <c r="Y86" s="668"/>
      <c r="Z86" s="668"/>
      <c r="AA86" s="668"/>
      <c r="AB86" s="668"/>
      <c r="AC86" s="114" t="str">
        <f>IFERROR(VLOOKUP(Z86,【参考】数式用!$A$4:$B$57,2,FALSE),"")</f>
        <v/>
      </c>
      <c r="AD86" s="291"/>
      <c r="AE86" s="297"/>
      <c r="AF86" s="294">
        <f t="shared" si="0"/>
        <v>0</v>
      </c>
      <c r="AG86" s="522"/>
      <c r="AP86" s="104" t="str">
        <f>IF($L$16="", "", VLOOKUP(Z86,【参考】数式用!$A$2:$O$57,14,FALSE))</f>
        <v/>
      </c>
      <c r="AQ86" s="28" t="e">
        <f>VLOOKUP(Z86,【参考】数式用!$A$2:$O$57,15,FALSE)</f>
        <v>#N/A</v>
      </c>
    </row>
    <row r="87" spans="1:43" ht="49.95" customHeight="1">
      <c r="A87" s="51">
        <f t="shared" si="1"/>
        <v>53</v>
      </c>
      <c r="B87" s="689"/>
      <c r="C87" s="690"/>
      <c r="D87" s="690"/>
      <c r="E87" s="690"/>
      <c r="F87" s="690"/>
      <c r="G87" s="690"/>
      <c r="H87" s="690"/>
      <c r="I87" s="690"/>
      <c r="J87" s="690"/>
      <c r="K87" s="690"/>
      <c r="L87" s="688"/>
      <c r="M87" s="688"/>
      <c r="N87" s="688"/>
      <c r="O87" s="688"/>
      <c r="P87" s="688"/>
      <c r="Q87" s="669"/>
      <c r="R87" s="669"/>
      <c r="S87" s="669"/>
      <c r="T87" s="669"/>
      <c r="U87" s="669"/>
      <c r="V87" s="293"/>
      <c r="W87" s="668"/>
      <c r="X87" s="668"/>
      <c r="Y87" s="668"/>
      <c r="Z87" s="668"/>
      <c r="AA87" s="668"/>
      <c r="AB87" s="668"/>
      <c r="AC87" s="114" t="str">
        <f>IFERROR(VLOOKUP(Z87,【参考】数式用!$A$4:$B$57,2,FALSE),"")</f>
        <v/>
      </c>
      <c r="AD87" s="291"/>
      <c r="AE87" s="297"/>
      <c r="AF87" s="294">
        <f t="shared" si="0"/>
        <v>0</v>
      </c>
      <c r="AG87" s="522"/>
      <c r="AP87" s="104" t="str">
        <f>IF($L$16="", "", VLOOKUP(Z87,【参考】数式用!$A$2:$O$57,14,FALSE))</f>
        <v/>
      </c>
      <c r="AQ87" s="28" t="e">
        <f>VLOOKUP(Z87,【参考】数式用!$A$2:$O$57,15,FALSE)</f>
        <v>#N/A</v>
      </c>
    </row>
    <row r="88" spans="1:43" ht="49.95" customHeight="1">
      <c r="A88" s="51">
        <f t="shared" si="1"/>
        <v>54</v>
      </c>
      <c r="B88" s="689"/>
      <c r="C88" s="690"/>
      <c r="D88" s="690"/>
      <c r="E88" s="690"/>
      <c r="F88" s="690"/>
      <c r="G88" s="690"/>
      <c r="H88" s="690"/>
      <c r="I88" s="690"/>
      <c r="J88" s="690"/>
      <c r="K88" s="690"/>
      <c r="L88" s="688"/>
      <c r="M88" s="688"/>
      <c r="N88" s="688"/>
      <c r="O88" s="688"/>
      <c r="P88" s="688"/>
      <c r="Q88" s="669"/>
      <c r="R88" s="669"/>
      <c r="S88" s="669"/>
      <c r="T88" s="669"/>
      <c r="U88" s="669"/>
      <c r="V88" s="293"/>
      <c r="W88" s="668"/>
      <c r="X88" s="668"/>
      <c r="Y88" s="668"/>
      <c r="Z88" s="668"/>
      <c r="AA88" s="668"/>
      <c r="AB88" s="668"/>
      <c r="AC88" s="114" t="str">
        <f>IFERROR(VLOOKUP(Z88,【参考】数式用!$A$4:$B$57,2,FALSE),"")</f>
        <v/>
      </c>
      <c r="AD88" s="291"/>
      <c r="AE88" s="297"/>
      <c r="AF88" s="294">
        <f t="shared" si="0"/>
        <v>0</v>
      </c>
      <c r="AG88" s="522"/>
      <c r="AP88" s="104" t="str">
        <f>IF($L$16="", "", VLOOKUP(Z88,【参考】数式用!$A$2:$O$57,14,FALSE))</f>
        <v/>
      </c>
      <c r="AQ88" s="28" t="e">
        <f>VLOOKUP(Z88,【参考】数式用!$A$2:$O$57,15,FALSE)</f>
        <v>#N/A</v>
      </c>
    </row>
    <row r="89" spans="1:43" ht="49.95" customHeight="1">
      <c r="A89" s="51">
        <f t="shared" si="1"/>
        <v>55</v>
      </c>
      <c r="B89" s="689"/>
      <c r="C89" s="690"/>
      <c r="D89" s="690"/>
      <c r="E89" s="690"/>
      <c r="F89" s="690"/>
      <c r="G89" s="690"/>
      <c r="H89" s="690"/>
      <c r="I89" s="690"/>
      <c r="J89" s="690"/>
      <c r="K89" s="690"/>
      <c r="L89" s="688"/>
      <c r="M89" s="688"/>
      <c r="N89" s="688"/>
      <c r="O89" s="688"/>
      <c r="P89" s="688"/>
      <c r="Q89" s="669"/>
      <c r="R89" s="669"/>
      <c r="S89" s="669"/>
      <c r="T89" s="669"/>
      <c r="U89" s="669"/>
      <c r="V89" s="293"/>
      <c r="W89" s="668"/>
      <c r="X89" s="668"/>
      <c r="Y89" s="668"/>
      <c r="Z89" s="668"/>
      <c r="AA89" s="668"/>
      <c r="AB89" s="668"/>
      <c r="AC89" s="114" t="str">
        <f>IFERROR(VLOOKUP(Z89,【参考】数式用!$A$4:$B$57,2,FALSE),"")</f>
        <v/>
      </c>
      <c r="AD89" s="291"/>
      <c r="AE89" s="297"/>
      <c r="AF89" s="294">
        <f t="shared" si="0"/>
        <v>0</v>
      </c>
      <c r="AG89" s="522"/>
      <c r="AP89" s="104" t="str">
        <f>IF($L$16="", "", VLOOKUP(Z89,【参考】数式用!$A$2:$O$57,14,FALSE))</f>
        <v/>
      </c>
      <c r="AQ89" s="28" t="e">
        <f>VLOOKUP(Z89,【参考】数式用!$A$2:$O$57,15,FALSE)</f>
        <v>#N/A</v>
      </c>
    </row>
    <row r="90" spans="1:43" ht="49.95" customHeight="1">
      <c r="A90" s="51">
        <f t="shared" si="1"/>
        <v>56</v>
      </c>
      <c r="B90" s="689"/>
      <c r="C90" s="690"/>
      <c r="D90" s="690"/>
      <c r="E90" s="690"/>
      <c r="F90" s="690"/>
      <c r="G90" s="690"/>
      <c r="H90" s="690"/>
      <c r="I90" s="690"/>
      <c r="J90" s="690"/>
      <c r="K90" s="690"/>
      <c r="L90" s="688"/>
      <c r="M90" s="688"/>
      <c r="N90" s="688"/>
      <c r="O90" s="688"/>
      <c r="P90" s="688"/>
      <c r="Q90" s="669"/>
      <c r="R90" s="669"/>
      <c r="S90" s="669"/>
      <c r="T90" s="669"/>
      <c r="U90" s="669"/>
      <c r="V90" s="293"/>
      <c r="W90" s="668"/>
      <c r="X90" s="668"/>
      <c r="Y90" s="668"/>
      <c r="Z90" s="668"/>
      <c r="AA90" s="668"/>
      <c r="AB90" s="668"/>
      <c r="AC90" s="114" t="str">
        <f>IFERROR(VLOOKUP(Z90,【参考】数式用!$A$4:$B$57,2,FALSE),"")</f>
        <v/>
      </c>
      <c r="AD90" s="291"/>
      <c r="AE90" s="297"/>
      <c r="AF90" s="294">
        <f t="shared" si="0"/>
        <v>0</v>
      </c>
      <c r="AG90" s="522"/>
      <c r="AP90" s="104" t="str">
        <f>IF($L$16="", "", VLOOKUP(Z90,【参考】数式用!$A$2:$O$57,14,FALSE))</f>
        <v/>
      </c>
      <c r="AQ90" s="28" t="e">
        <f>VLOOKUP(Z90,【参考】数式用!$A$2:$O$57,15,FALSE)</f>
        <v>#N/A</v>
      </c>
    </row>
    <row r="91" spans="1:43" ht="49.95" customHeight="1">
      <c r="A91" s="51">
        <f t="shared" si="1"/>
        <v>57</v>
      </c>
      <c r="B91" s="689"/>
      <c r="C91" s="690"/>
      <c r="D91" s="690"/>
      <c r="E91" s="690"/>
      <c r="F91" s="690"/>
      <c r="G91" s="690"/>
      <c r="H91" s="690"/>
      <c r="I91" s="690"/>
      <c r="J91" s="690"/>
      <c r="K91" s="690"/>
      <c r="L91" s="688"/>
      <c r="M91" s="688"/>
      <c r="N91" s="688"/>
      <c r="O91" s="688"/>
      <c r="P91" s="688"/>
      <c r="Q91" s="669"/>
      <c r="R91" s="669"/>
      <c r="S91" s="669"/>
      <c r="T91" s="669"/>
      <c r="U91" s="669"/>
      <c r="V91" s="293"/>
      <c r="W91" s="668"/>
      <c r="X91" s="668"/>
      <c r="Y91" s="668"/>
      <c r="Z91" s="668"/>
      <c r="AA91" s="668"/>
      <c r="AB91" s="668"/>
      <c r="AC91" s="114" t="str">
        <f>IFERROR(VLOOKUP(Z91,【参考】数式用!$A$4:$B$57,2,FALSE),"")</f>
        <v/>
      </c>
      <c r="AD91" s="291"/>
      <c r="AE91" s="297"/>
      <c r="AF91" s="294">
        <f t="shared" si="0"/>
        <v>0</v>
      </c>
      <c r="AG91" s="522"/>
      <c r="AP91" s="104" t="str">
        <f>IF($L$16="", "", VLOOKUP(Z91,【参考】数式用!$A$2:$O$57,14,FALSE))</f>
        <v/>
      </c>
      <c r="AQ91" s="28" t="e">
        <f>VLOOKUP(Z91,【参考】数式用!$A$2:$O$57,15,FALSE)</f>
        <v>#N/A</v>
      </c>
    </row>
    <row r="92" spans="1:43" ht="49.95" customHeight="1">
      <c r="A92" s="51">
        <f t="shared" si="1"/>
        <v>58</v>
      </c>
      <c r="B92" s="689"/>
      <c r="C92" s="690"/>
      <c r="D92" s="690"/>
      <c r="E92" s="690"/>
      <c r="F92" s="690"/>
      <c r="G92" s="690"/>
      <c r="H92" s="690"/>
      <c r="I92" s="690"/>
      <c r="J92" s="690"/>
      <c r="K92" s="690"/>
      <c r="L92" s="688"/>
      <c r="M92" s="688"/>
      <c r="N92" s="688"/>
      <c r="O92" s="688"/>
      <c r="P92" s="688"/>
      <c r="Q92" s="669"/>
      <c r="R92" s="669"/>
      <c r="S92" s="669"/>
      <c r="T92" s="669"/>
      <c r="U92" s="669"/>
      <c r="V92" s="293"/>
      <c r="W92" s="668"/>
      <c r="X92" s="668"/>
      <c r="Y92" s="668"/>
      <c r="Z92" s="668"/>
      <c r="AA92" s="668"/>
      <c r="AB92" s="668"/>
      <c r="AC92" s="114" t="str">
        <f>IFERROR(VLOOKUP(Z92,【参考】数式用!$A$4:$B$57,2,FALSE),"")</f>
        <v/>
      </c>
      <c r="AD92" s="291"/>
      <c r="AE92" s="297"/>
      <c r="AF92" s="294">
        <f t="shared" si="0"/>
        <v>0</v>
      </c>
      <c r="AG92" s="522"/>
      <c r="AP92" s="104" t="str">
        <f>IF($L$16="", "", VLOOKUP(Z92,【参考】数式用!$A$2:$O$57,14,FALSE))</f>
        <v/>
      </c>
      <c r="AQ92" s="28" t="e">
        <f>VLOOKUP(Z92,【参考】数式用!$A$2:$O$57,15,FALSE)</f>
        <v>#N/A</v>
      </c>
    </row>
    <row r="93" spans="1:43" ht="49.95" customHeight="1">
      <c r="A93" s="51">
        <f t="shared" si="1"/>
        <v>59</v>
      </c>
      <c r="B93" s="689"/>
      <c r="C93" s="690"/>
      <c r="D93" s="690"/>
      <c r="E93" s="690"/>
      <c r="F93" s="690"/>
      <c r="G93" s="690"/>
      <c r="H93" s="690"/>
      <c r="I93" s="690"/>
      <c r="J93" s="690"/>
      <c r="K93" s="690"/>
      <c r="L93" s="688"/>
      <c r="M93" s="688"/>
      <c r="N93" s="688"/>
      <c r="O93" s="688"/>
      <c r="P93" s="688"/>
      <c r="Q93" s="669"/>
      <c r="R93" s="669"/>
      <c r="S93" s="669"/>
      <c r="T93" s="669"/>
      <c r="U93" s="669"/>
      <c r="V93" s="293"/>
      <c r="W93" s="668"/>
      <c r="X93" s="668"/>
      <c r="Y93" s="668"/>
      <c r="Z93" s="668"/>
      <c r="AA93" s="668"/>
      <c r="AB93" s="668"/>
      <c r="AC93" s="114" t="str">
        <f>IFERROR(VLOOKUP(Z93,【参考】数式用!$A$4:$B$57,2,FALSE),"")</f>
        <v/>
      </c>
      <c r="AD93" s="291"/>
      <c r="AE93" s="297"/>
      <c r="AF93" s="294">
        <f t="shared" si="0"/>
        <v>0</v>
      </c>
      <c r="AG93" s="522"/>
      <c r="AP93" s="104" t="str">
        <f>IF($L$16="", "", VLOOKUP(Z93,【参考】数式用!$A$2:$O$57,14,FALSE))</f>
        <v/>
      </c>
      <c r="AQ93" s="28" t="e">
        <f>VLOOKUP(Z93,【参考】数式用!$A$2:$O$57,15,FALSE)</f>
        <v>#N/A</v>
      </c>
    </row>
    <row r="94" spans="1:43" ht="49.95" customHeight="1">
      <c r="A94" s="51">
        <f t="shared" si="1"/>
        <v>60</v>
      </c>
      <c r="B94" s="689"/>
      <c r="C94" s="690"/>
      <c r="D94" s="690"/>
      <c r="E94" s="690"/>
      <c r="F94" s="690"/>
      <c r="G94" s="690"/>
      <c r="H94" s="690"/>
      <c r="I94" s="690"/>
      <c r="J94" s="690"/>
      <c r="K94" s="690"/>
      <c r="L94" s="688"/>
      <c r="M94" s="688"/>
      <c r="N94" s="688"/>
      <c r="O94" s="688"/>
      <c r="P94" s="688"/>
      <c r="Q94" s="669"/>
      <c r="R94" s="669"/>
      <c r="S94" s="669"/>
      <c r="T94" s="669"/>
      <c r="U94" s="669"/>
      <c r="V94" s="293"/>
      <c r="W94" s="668"/>
      <c r="X94" s="668"/>
      <c r="Y94" s="668"/>
      <c r="Z94" s="668"/>
      <c r="AA94" s="668"/>
      <c r="AB94" s="668"/>
      <c r="AC94" s="114" t="str">
        <f>IFERROR(VLOOKUP(Z94,【参考】数式用!$A$4:$B$57,2,FALSE),"")</f>
        <v/>
      </c>
      <c r="AD94" s="291"/>
      <c r="AE94" s="297"/>
      <c r="AF94" s="294">
        <f t="shared" si="0"/>
        <v>0</v>
      </c>
      <c r="AG94" s="522"/>
      <c r="AP94" s="104" t="str">
        <f>IF($L$16="", "", VLOOKUP(Z94,【参考】数式用!$A$2:$O$57,14,FALSE))</f>
        <v/>
      </c>
      <c r="AQ94" s="28" t="e">
        <f>VLOOKUP(Z94,【参考】数式用!$A$2:$O$57,15,FALSE)</f>
        <v>#N/A</v>
      </c>
    </row>
    <row r="95" spans="1:43" ht="49.95" customHeight="1">
      <c r="A95" s="51">
        <f t="shared" si="1"/>
        <v>61</v>
      </c>
      <c r="B95" s="689"/>
      <c r="C95" s="690"/>
      <c r="D95" s="690"/>
      <c r="E95" s="690"/>
      <c r="F95" s="690"/>
      <c r="G95" s="690"/>
      <c r="H95" s="690"/>
      <c r="I95" s="690"/>
      <c r="J95" s="690"/>
      <c r="K95" s="690"/>
      <c r="L95" s="688"/>
      <c r="M95" s="688"/>
      <c r="N95" s="688"/>
      <c r="O95" s="688"/>
      <c r="P95" s="688"/>
      <c r="Q95" s="669"/>
      <c r="R95" s="669"/>
      <c r="S95" s="669"/>
      <c r="T95" s="669"/>
      <c r="U95" s="669"/>
      <c r="V95" s="293"/>
      <c r="W95" s="668"/>
      <c r="X95" s="668"/>
      <c r="Y95" s="668"/>
      <c r="Z95" s="668"/>
      <c r="AA95" s="668"/>
      <c r="AB95" s="668"/>
      <c r="AC95" s="114" t="str">
        <f>IFERROR(VLOOKUP(Z95,【参考】数式用!$A$4:$B$57,2,FALSE),"")</f>
        <v/>
      </c>
      <c r="AD95" s="291"/>
      <c r="AE95" s="297"/>
      <c r="AF95" s="294">
        <f t="shared" si="0"/>
        <v>0</v>
      </c>
      <c r="AG95" s="522"/>
      <c r="AP95" s="104" t="str">
        <f>IF($L$16="", "", VLOOKUP(Z95,【参考】数式用!$A$2:$O$57,14,FALSE))</f>
        <v/>
      </c>
      <c r="AQ95" s="28" t="e">
        <f>VLOOKUP(Z95,【参考】数式用!$A$2:$O$57,15,FALSE)</f>
        <v>#N/A</v>
      </c>
    </row>
    <row r="96" spans="1:43" ht="49.95" customHeight="1">
      <c r="A96" s="51">
        <f t="shared" si="1"/>
        <v>62</v>
      </c>
      <c r="B96" s="689"/>
      <c r="C96" s="690"/>
      <c r="D96" s="690"/>
      <c r="E96" s="690"/>
      <c r="F96" s="690"/>
      <c r="G96" s="690"/>
      <c r="H96" s="690"/>
      <c r="I96" s="690"/>
      <c r="J96" s="690"/>
      <c r="K96" s="690"/>
      <c r="L96" s="688"/>
      <c r="M96" s="688"/>
      <c r="N96" s="688"/>
      <c r="O96" s="688"/>
      <c r="P96" s="688"/>
      <c r="Q96" s="669"/>
      <c r="R96" s="669"/>
      <c r="S96" s="669"/>
      <c r="T96" s="669"/>
      <c r="U96" s="669"/>
      <c r="V96" s="293"/>
      <c r="W96" s="668"/>
      <c r="X96" s="668"/>
      <c r="Y96" s="668"/>
      <c r="Z96" s="668"/>
      <c r="AA96" s="668"/>
      <c r="AB96" s="668"/>
      <c r="AC96" s="114" t="str">
        <f>IFERROR(VLOOKUP(Z96,【参考】数式用!$A$4:$B$57,2,FALSE),"")</f>
        <v/>
      </c>
      <c r="AD96" s="291"/>
      <c r="AE96" s="297"/>
      <c r="AF96" s="294">
        <f t="shared" si="0"/>
        <v>0</v>
      </c>
      <c r="AG96" s="522"/>
      <c r="AP96" s="104" t="str">
        <f>IF($L$16="", "", VLOOKUP(Z96,【参考】数式用!$A$2:$O$57,14,FALSE))</f>
        <v/>
      </c>
      <c r="AQ96" s="28" t="e">
        <f>VLOOKUP(Z96,【参考】数式用!$A$2:$O$57,15,FALSE)</f>
        <v>#N/A</v>
      </c>
    </row>
    <row r="97" spans="1:43" ht="49.95" customHeight="1">
      <c r="A97" s="51">
        <f t="shared" si="1"/>
        <v>63</v>
      </c>
      <c r="B97" s="689"/>
      <c r="C97" s="690"/>
      <c r="D97" s="690"/>
      <c r="E97" s="690"/>
      <c r="F97" s="690"/>
      <c r="G97" s="690"/>
      <c r="H97" s="690"/>
      <c r="I97" s="690"/>
      <c r="J97" s="690"/>
      <c r="K97" s="690"/>
      <c r="L97" s="688"/>
      <c r="M97" s="688"/>
      <c r="N97" s="688"/>
      <c r="O97" s="688"/>
      <c r="P97" s="688"/>
      <c r="Q97" s="669"/>
      <c r="R97" s="669"/>
      <c r="S97" s="669"/>
      <c r="T97" s="669"/>
      <c r="U97" s="669"/>
      <c r="V97" s="293"/>
      <c r="W97" s="668"/>
      <c r="X97" s="668"/>
      <c r="Y97" s="668"/>
      <c r="Z97" s="668"/>
      <c r="AA97" s="668"/>
      <c r="AB97" s="668"/>
      <c r="AC97" s="114" t="str">
        <f>IFERROR(VLOOKUP(Z97,【参考】数式用!$A$4:$B$57,2,FALSE),"")</f>
        <v/>
      </c>
      <c r="AD97" s="291"/>
      <c r="AE97" s="297"/>
      <c r="AF97" s="294">
        <f t="shared" si="0"/>
        <v>0</v>
      </c>
      <c r="AG97" s="522"/>
      <c r="AP97" s="104" t="str">
        <f>IF($L$16="", "", VLOOKUP(Z97,【参考】数式用!$A$2:$O$57,14,FALSE))</f>
        <v/>
      </c>
      <c r="AQ97" s="28" t="e">
        <f>VLOOKUP(Z97,【参考】数式用!$A$2:$O$57,15,FALSE)</f>
        <v>#N/A</v>
      </c>
    </row>
    <row r="98" spans="1:43" ht="49.95" customHeight="1">
      <c r="A98" s="51">
        <f t="shared" si="1"/>
        <v>64</v>
      </c>
      <c r="B98" s="689"/>
      <c r="C98" s="690"/>
      <c r="D98" s="690"/>
      <c r="E98" s="690"/>
      <c r="F98" s="690"/>
      <c r="G98" s="690"/>
      <c r="H98" s="690"/>
      <c r="I98" s="690"/>
      <c r="J98" s="690"/>
      <c r="K98" s="690"/>
      <c r="L98" s="688"/>
      <c r="M98" s="688"/>
      <c r="N98" s="688"/>
      <c r="O98" s="688"/>
      <c r="P98" s="688"/>
      <c r="Q98" s="669"/>
      <c r="R98" s="669"/>
      <c r="S98" s="669"/>
      <c r="T98" s="669"/>
      <c r="U98" s="669"/>
      <c r="V98" s="293"/>
      <c r="W98" s="668"/>
      <c r="X98" s="668"/>
      <c r="Y98" s="668"/>
      <c r="Z98" s="668"/>
      <c r="AA98" s="668"/>
      <c r="AB98" s="668"/>
      <c r="AC98" s="114" t="str">
        <f>IFERROR(VLOOKUP(Z98,【参考】数式用!$A$4:$B$57,2,FALSE),"")</f>
        <v/>
      </c>
      <c r="AD98" s="291"/>
      <c r="AE98" s="297"/>
      <c r="AF98" s="294">
        <f t="shared" si="0"/>
        <v>0</v>
      </c>
      <c r="AG98" s="522"/>
      <c r="AP98" s="104" t="str">
        <f>IF($L$16="", "", VLOOKUP(Z98,【参考】数式用!$A$2:$O$57,14,FALSE))</f>
        <v/>
      </c>
      <c r="AQ98" s="28" t="e">
        <f>VLOOKUP(Z98,【参考】数式用!$A$2:$O$57,15,FALSE)</f>
        <v>#N/A</v>
      </c>
    </row>
    <row r="99" spans="1:43" ht="49.95" customHeight="1">
      <c r="A99" s="51">
        <f t="shared" si="1"/>
        <v>65</v>
      </c>
      <c r="B99" s="689"/>
      <c r="C99" s="690"/>
      <c r="D99" s="690"/>
      <c r="E99" s="690"/>
      <c r="F99" s="690"/>
      <c r="G99" s="690"/>
      <c r="H99" s="690"/>
      <c r="I99" s="690"/>
      <c r="J99" s="690"/>
      <c r="K99" s="690"/>
      <c r="L99" s="688"/>
      <c r="M99" s="688"/>
      <c r="N99" s="688"/>
      <c r="O99" s="688"/>
      <c r="P99" s="688"/>
      <c r="Q99" s="669"/>
      <c r="R99" s="669"/>
      <c r="S99" s="669"/>
      <c r="T99" s="669"/>
      <c r="U99" s="669"/>
      <c r="V99" s="293"/>
      <c r="W99" s="668"/>
      <c r="X99" s="668"/>
      <c r="Y99" s="668"/>
      <c r="Z99" s="668"/>
      <c r="AA99" s="668"/>
      <c r="AB99" s="668"/>
      <c r="AC99" s="114" t="str">
        <f>IFERROR(VLOOKUP(Z99,【参考】数式用!$A$4:$B$57,2,FALSE),"")</f>
        <v/>
      </c>
      <c r="AD99" s="291"/>
      <c r="AE99" s="297"/>
      <c r="AF99" s="294">
        <f t="shared" si="0"/>
        <v>0</v>
      </c>
      <c r="AG99" s="522"/>
      <c r="AP99" s="104" t="str">
        <f>IF($L$16="", "", VLOOKUP(Z99,【参考】数式用!$A$2:$O$57,14,FALSE))</f>
        <v/>
      </c>
      <c r="AQ99" s="28" t="e">
        <f>VLOOKUP(Z99,【参考】数式用!$A$2:$O$57,15,FALSE)</f>
        <v>#N/A</v>
      </c>
    </row>
    <row r="100" spans="1:43" ht="49.95" customHeight="1">
      <c r="A100" s="51">
        <f t="shared" si="1"/>
        <v>66</v>
      </c>
      <c r="B100" s="689"/>
      <c r="C100" s="690"/>
      <c r="D100" s="690"/>
      <c r="E100" s="690"/>
      <c r="F100" s="690"/>
      <c r="G100" s="690"/>
      <c r="H100" s="690"/>
      <c r="I100" s="690"/>
      <c r="J100" s="690"/>
      <c r="K100" s="690"/>
      <c r="L100" s="688"/>
      <c r="M100" s="688"/>
      <c r="N100" s="688"/>
      <c r="O100" s="688"/>
      <c r="P100" s="688"/>
      <c r="Q100" s="669"/>
      <c r="R100" s="669"/>
      <c r="S100" s="669"/>
      <c r="T100" s="669"/>
      <c r="U100" s="669"/>
      <c r="V100" s="293"/>
      <c r="W100" s="668"/>
      <c r="X100" s="668"/>
      <c r="Y100" s="668"/>
      <c r="Z100" s="668"/>
      <c r="AA100" s="668"/>
      <c r="AB100" s="668"/>
      <c r="AC100" s="114" t="str">
        <f>IFERROR(VLOOKUP(Z100,【参考】数式用!$A$4:$B$57,2,FALSE),"")</f>
        <v/>
      </c>
      <c r="AD100" s="291"/>
      <c r="AE100" s="297"/>
      <c r="AF100" s="294">
        <f t="shared" si="0"/>
        <v>0</v>
      </c>
      <c r="AG100" s="522"/>
      <c r="AP100" s="104" t="str">
        <f>IF($L$16="", "", VLOOKUP(Z100,【参考】数式用!$A$2:$O$57,14,FALSE))</f>
        <v/>
      </c>
      <c r="AQ100" s="28" t="e">
        <f>VLOOKUP(Z100,【参考】数式用!$A$2:$O$57,15,FALSE)</f>
        <v>#N/A</v>
      </c>
    </row>
    <row r="101" spans="1:43" ht="49.95" customHeight="1">
      <c r="A101" s="51">
        <f t="shared" ref="A101:A135" si="3">A100+1</f>
        <v>67</v>
      </c>
      <c r="B101" s="689"/>
      <c r="C101" s="690"/>
      <c r="D101" s="690"/>
      <c r="E101" s="690"/>
      <c r="F101" s="690"/>
      <c r="G101" s="690"/>
      <c r="H101" s="690"/>
      <c r="I101" s="690"/>
      <c r="J101" s="690"/>
      <c r="K101" s="690"/>
      <c r="L101" s="688"/>
      <c r="M101" s="688"/>
      <c r="N101" s="688"/>
      <c r="O101" s="688"/>
      <c r="P101" s="688"/>
      <c r="Q101" s="669"/>
      <c r="R101" s="669"/>
      <c r="S101" s="669"/>
      <c r="T101" s="669"/>
      <c r="U101" s="669"/>
      <c r="V101" s="293"/>
      <c r="W101" s="668"/>
      <c r="X101" s="668"/>
      <c r="Y101" s="668"/>
      <c r="Z101" s="668"/>
      <c r="AA101" s="668"/>
      <c r="AB101" s="668"/>
      <c r="AC101" s="114" t="str">
        <f>IFERROR(VLOOKUP(Z101,【参考】数式用!$A$4:$B$57,2,FALSE),"")</f>
        <v/>
      </c>
      <c r="AD101" s="291"/>
      <c r="AE101" s="297"/>
      <c r="AF101" s="294">
        <f t="shared" ref="AF101:AF135" si="4">AD101-AE101</f>
        <v>0</v>
      </c>
      <c r="AG101" s="522"/>
      <c r="AP101" s="104" t="str">
        <f>IF($L$16="", "", VLOOKUP(Z101,【参考】数式用!$A$2:$O$57,14,FALSE))</f>
        <v/>
      </c>
      <c r="AQ101" s="28" t="e">
        <f>VLOOKUP(Z101,【参考】数式用!$A$2:$O$57,15,FALSE)</f>
        <v>#N/A</v>
      </c>
    </row>
    <row r="102" spans="1:43" ht="49.95" customHeight="1">
      <c r="A102" s="51">
        <f t="shared" si="3"/>
        <v>68</v>
      </c>
      <c r="B102" s="689"/>
      <c r="C102" s="690"/>
      <c r="D102" s="690"/>
      <c r="E102" s="690"/>
      <c r="F102" s="690"/>
      <c r="G102" s="690"/>
      <c r="H102" s="690"/>
      <c r="I102" s="690"/>
      <c r="J102" s="690"/>
      <c r="K102" s="690"/>
      <c r="L102" s="688"/>
      <c r="M102" s="688"/>
      <c r="N102" s="688"/>
      <c r="O102" s="688"/>
      <c r="P102" s="688"/>
      <c r="Q102" s="669"/>
      <c r="R102" s="669"/>
      <c r="S102" s="669"/>
      <c r="T102" s="669"/>
      <c r="U102" s="669"/>
      <c r="V102" s="293"/>
      <c r="W102" s="668"/>
      <c r="X102" s="668"/>
      <c r="Y102" s="668"/>
      <c r="Z102" s="668"/>
      <c r="AA102" s="668"/>
      <c r="AB102" s="668"/>
      <c r="AC102" s="114" t="str">
        <f>IFERROR(VLOOKUP(Z102,【参考】数式用!$A$4:$B$57,2,FALSE),"")</f>
        <v/>
      </c>
      <c r="AD102" s="291"/>
      <c r="AE102" s="297"/>
      <c r="AF102" s="294">
        <f t="shared" si="4"/>
        <v>0</v>
      </c>
      <c r="AG102" s="522"/>
      <c r="AP102" s="104" t="str">
        <f>IF($L$16="", "", VLOOKUP(Z102,【参考】数式用!$A$2:$O$57,14,FALSE))</f>
        <v/>
      </c>
      <c r="AQ102" s="28" t="e">
        <f>VLOOKUP(Z102,【参考】数式用!$A$2:$O$57,15,FALSE)</f>
        <v>#N/A</v>
      </c>
    </row>
    <row r="103" spans="1:43" ht="49.95" customHeight="1">
      <c r="A103" s="51">
        <f t="shared" si="3"/>
        <v>69</v>
      </c>
      <c r="B103" s="689"/>
      <c r="C103" s="690"/>
      <c r="D103" s="690"/>
      <c r="E103" s="690"/>
      <c r="F103" s="690"/>
      <c r="G103" s="690"/>
      <c r="H103" s="690"/>
      <c r="I103" s="690"/>
      <c r="J103" s="690"/>
      <c r="K103" s="690"/>
      <c r="L103" s="688"/>
      <c r="M103" s="688"/>
      <c r="N103" s="688"/>
      <c r="O103" s="688"/>
      <c r="P103" s="688"/>
      <c r="Q103" s="669"/>
      <c r="R103" s="669"/>
      <c r="S103" s="669"/>
      <c r="T103" s="669"/>
      <c r="U103" s="669"/>
      <c r="V103" s="293"/>
      <c r="W103" s="668"/>
      <c r="X103" s="668"/>
      <c r="Y103" s="668"/>
      <c r="Z103" s="668"/>
      <c r="AA103" s="668"/>
      <c r="AB103" s="668"/>
      <c r="AC103" s="114" t="str">
        <f>IFERROR(VLOOKUP(Z103,【参考】数式用!$A$4:$B$57,2,FALSE),"")</f>
        <v/>
      </c>
      <c r="AD103" s="291"/>
      <c r="AE103" s="297"/>
      <c r="AF103" s="294">
        <f t="shared" si="4"/>
        <v>0</v>
      </c>
      <c r="AG103" s="522"/>
      <c r="AP103" s="104" t="str">
        <f>IF($L$16="", "", VLOOKUP(Z103,【参考】数式用!$A$2:$O$57,14,FALSE))</f>
        <v/>
      </c>
      <c r="AQ103" s="28" t="e">
        <f>VLOOKUP(Z103,【参考】数式用!$A$2:$O$57,15,FALSE)</f>
        <v>#N/A</v>
      </c>
    </row>
    <row r="104" spans="1:43" ht="49.95" customHeight="1">
      <c r="A104" s="51">
        <f t="shared" si="3"/>
        <v>70</v>
      </c>
      <c r="B104" s="689"/>
      <c r="C104" s="690"/>
      <c r="D104" s="690"/>
      <c r="E104" s="690"/>
      <c r="F104" s="690"/>
      <c r="G104" s="690"/>
      <c r="H104" s="690"/>
      <c r="I104" s="690"/>
      <c r="J104" s="690"/>
      <c r="K104" s="690"/>
      <c r="L104" s="688"/>
      <c r="M104" s="688"/>
      <c r="N104" s="688"/>
      <c r="O104" s="688"/>
      <c r="P104" s="688"/>
      <c r="Q104" s="669"/>
      <c r="R104" s="669"/>
      <c r="S104" s="669"/>
      <c r="T104" s="669"/>
      <c r="U104" s="669"/>
      <c r="V104" s="293"/>
      <c r="W104" s="668"/>
      <c r="X104" s="668"/>
      <c r="Y104" s="668"/>
      <c r="Z104" s="668"/>
      <c r="AA104" s="668"/>
      <c r="AB104" s="668"/>
      <c r="AC104" s="114" t="str">
        <f>IFERROR(VLOOKUP(Z104,【参考】数式用!$A$4:$B$57,2,FALSE),"")</f>
        <v/>
      </c>
      <c r="AD104" s="291"/>
      <c r="AE104" s="297"/>
      <c r="AF104" s="294">
        <f t="shared" si="4"/>
        <v>0</v>
      </c>
      <c r="AG104" s="522"/>
      <c r="AP104" s="104" t="str">
        <f>IF($L$16="", "", VLOOKUP(Z104,【参考】数式用!$A$2:$O$57,14,FALSE))</f>
        <v/>
      </c>
      <c r="AQ104" s="28" t="e">
        <f>VLOOKUP(Z104,【参考】数式用!$A$2:$O$57,15,FALSE)</f>
        <v>#N/A</v>
      </c>
    </row>
    <row r="105" spans="1:43" ht="49.95" customHeight="1">
      <c r="A105" s="51">
        <f t="shared" si="3"/>
        <v>71</v>
      </c>
      <c r="B105" s="689"/>
      <c r="C105" s="690"/>
      <c r="D105" s="690"/>
      <c r="E105" s="690"/>
      <c r="F105" s="690"/>
      <c r="G105" s="690"/>
      <c r="H105" s="690"/>
      <c r="I105" s="690"/>
      <c r="J105" s="690"/>
      <c r="K105" s="690"/>
      <c r="L105" s="688"/>
      <c r="M105" s="688"/>
      <c r="N105" s="688"/>
      <c r="O105" s="688"/>
      <c r="P105" s="688"/>
      <c r="Q105" s="669"/>
      <c r="R105" s="669"/>
      <c r="S105" s="669"/>
      <c r="T105" s="669"/>
      <c r="U105" s="669"/>
      <c r="V105" s="293"/>
      <c r="W105" s="668"/>
      <c r="X105" s="668"/>
      <c r="Y105" s="668"/>
      <c r="Z105" s="668"/>
      <c r="AA105" s="668"/>
      <c r="AB105" s="668"/>
      <c r="AC105" s="114" t="str">
        <f>IFERROR(VLOOKUP(Z105,【参考】数式用!$A$4:$B$57,2,FALSE),"")</f>
        <v/>
      </c>
      <c r="AD105" s="291"/>
      <c r="AE105" s="297"/>
      <c r="AF105" s="294">
        <f t="shared" si="4"/>
        <v>0</v>
      </c>
      <c r="AG105" s="522"/>
      <c r="AP105" s="104" t="str">
        <f>IF($L$16="", "", VLOOKUP(Z105,【参考】数式用!$A$2:$O$57,14,FALSE))</f>
        <v/>
      </c>
      <c r="AQ105" s="28" t="e">
        <f>VLOOKUP(Z105,【参考】数式用!$A$2:$O$57,15,FALSE)</f>
        <v>#N/A</v>
      </c>
    </row>
    <row r="106" spans="1:43" ht="49.95" customHeight="1">
      <c r="A106" s="51">
        <f t="shared" si="3"/>
        <v>72</v>
      </c>
      <c r="B106" s="689"/>
      <c r="C106" s="690"/>
      <c r="D106" s="690"/>
      <c r="E106" s="690"/>
      <c r="F106" s="690"/>
      <c r="G106" s="690"/>
      <c r="H106" s="690"/>
      <c r="I106" s="690"/>
      <c r="J106" s="690"/>
      <c r="K106" s="690"/>
      <c r="L106" s="688"/>
      <c r="M106" s="688"/>
      <c r="N106" s="688"/>
      <c r="O106" s="688"/>
      <c r="P106" s="688"/>
      <c r="Q106" s="669"/>
      <c r="R106" s="669"/>
      <c r="S106" s="669"/>
      <c r="T106" s="669"/>
      <c r="U106" s="669"/>
      <c r="V106" s="293"/>
      <c r="W106" s="668"/>
      <c r="X106" s="668"/>
      <c r="Y106" s="668"/>
      <c r="Z106" s="668"/>
      <c r="AA106" s="668"/>
      <c r="AB106" s="668"/>
      <c r="AC106" s="114" t="str">
        <f>IFERROR(VLOOKUP(Z106,【参考】数式用!$A$4:$B$57,2,FALSE),"")</f>
        <v/>
      </c>
      <c r="AD106" s="291"/>
      <c r="AE106" s="297"/>
      <c r="AF106" s="294">
        <f t="shared" si="4"/>
        <v>0</v>
      </c>
      <c r="AG106" s="522"/>
      <c r="AP106" s="104" t="str">
        <f>IF($L$16="", "", VLOOKUP(Z106,【参考】数式用!$A$2:$O$57,14,FALSE))</f>
        <v/>
      </c>
      <c r="AQ106" s="28" t="e">
        <f>VLOOKUP(Z106,【参考】数式用!$A$2:$O$57,15,FALSE)</f>
        <v>#N/A</v>
      </c>
    </row>
    <row r="107" spans="1:43" ht="49.95" customHeight="1">
      <c r="A107" s="51">
        <f t="shared" si="3"/>
        <v>73</v>
      </c>
      <c r="B107" s="689"/>
      <c r="C107" s="690"/>
      <c r="D107" s="690"/>
      <c r="E107" s="690"/>
      <c r="F107" s="690"/>
      <c r="G107" s="690"/>
      <c r="H107" s="690"/>
      <c r="I107" s="690"/>
      <c r="J107" s="690"/>
      <c r="K107" s="690"/>
      <c r="L107" s="688"/>
      <c r="M107" s="688"/>
      <c r="N107" s="688"/>
      <c r="O107" s="688"/>
      <c r="P107" s="688"/>
      <c r="Q107" s="669"/>
      <c r="R107" s="669"/>
      <c r="S107" s="669"/>
      <c r="T107" s="669"/>
      <c r="U107" s="669"/>
      <c r="V107" s="293"/>
      <c r="W107" s="668"/>
      <c r="X107" s="668"/>
      <c r="Y107" s="668"/>
      <c r="Z107" s="668"/>
      <c r="AA107" s="668"/>
      <c r="AB107" s="668"/>
      <c r="AC107" s="114" t="str">
        <f>IFERROR(VLOOKUP(Z107,【参考】数式用!$A$4:$B$57,2,FALSE),"")</f>
        <v/>
      </c>
      <c r="AD107" s="291"/>
      <c r="AE107" s="297"/>
      <c r="AF107" s="294">
        <f t="shared" si="4"/>
        <v>0</v>
      </c>
      <c r="AG107" s="522"/>
      <c r="AP107" s="104" t="str">
        <f>IF($L$16="", "", VLOOKUP(Z107,【参考】数式用!$A$2:$O$57,14,FALSE))</f>
        <v/>
      </c>
      <c r="AQ107" s="28" t="e">
        <f>VLOOKUP(Z107,【参考】数式用!$A$2:$O$57,15,FALSE)</f>
        <v>#N/A</v>
      </c>
    </row>
    <row r="108" spans="1:43" ht="49.95" customHeight="1">
      <c r="A108" s="51">
        <f t="shared" si="3"/>
        <v>74</v>
      </c>
      <c r="B108" s="689"/>
      <c r="C108" s="690"/>
      <c r="D108" s="690"/>
      <c r="E108" s="690"/>
      <c r="F108" s="690"/>
      <c r="G108" s="690"/>
      <c r="H108" s="690"/>
      <c r="I108" s="690"/>
      <c r="J108" s="690"/>
      <c r="K108" s="690"/>
      <c r="L108" s="688"/>
      <c r="M108" s="688"/>
      <c r="N108" s="688"/>
      <c r="O108" s="688"/>
      <c r="P108" s="688"/>
      <c r="Q108" s="669"/>
      <c r="R108" s="669"/>
      <c r="S108" s="669"/>
      <c r="T108" s="669"/>
      <c r="U108" s="669"/>
      <c r="V108" s="293"/>
      <c r="W108" s="668"/>
      <c r="X108" s="668"/>
      <c r="Y108" s="668"/>
      <c r="Z108" s="668"/>
      <c r="AA108" s="668"/>
      <c r="AB108" s="668"/>
      <c r="AC108" s="114" t="str">
        <f>IFERROR(VLOOKUP(Z108,【参考】数式用!$A$4:$B$57,2,FALSE),"")</f>
        <v/>
      </c>
      <c r="AD108" s="291"/>
      <c r="AE108" s="297"/>
      <c r="AF108" s="294">
        <f t="shared" si="4"/>
        <v>0</v>
      </c>
      <c r="AG108" s="522"/>
      <c r="AP108" s="104" t="str">
        <f>IF($L$16="", "", VLOOKUP(Z108,【参考】数式用!$A$2:$O$57,14,FALSE))</f>
        <v/>
      </c>
      <c r="AQ108" s="28" t="e">
        <f>VLOOKUP(Z108,【参考】数式用!$A$2:$O$57,15,FALSE)</f>
        <v>#N/A</v>
      </c>
    </row>
    <row r="109" spans="1:43" ht="49.95" customHeight="1">
      <c r="A109" s="51">
        <f t="shared" si="3"/>
        <v>75</v>
      </c>
      <c r="B109" s="689"/>
      <c r="C109" s="690"/>
      <c r="D109" s="690"/>
      <c r="E109" s="690"/>
      <c r="F109" s="690"/>
      <c r="G109" s="690"/>
      <c r="H109" s="690"/>
      <c r="I109" s="690"/>
      <c r="J109" s="690"/>
      <c r="K109" s="690"/>
      <c r="L109" s="688"/>
      <c r="M109" s="688"/>
      <c r="N109" s="688"/>
      <c r="O109" s="688"/>
      <c r="P109" s="688"/>
      <c r="Q109" s="669"/>
      <c r="R109" s="669"/>
      <c r="S109" s="669"/>
      <c r="T109" s="669"/>
      <c r="U109" s="669"/>
      <c r="V109" s="293"/>
      <c r="W109" s="668"/>
      <c r="X109" s="668"/>
      <c r="Y109" s="668"/>
      <c r="Z109" s="668"/>
      <c r="AA109" s="668"/>
      <c r="AB109" s="668"/>
      <c r="AC109" s="114" t="str">
        <f>IFERROR(VLOOKUP(Z109,【参考】数式用!$A$4:$B$57,2,FALSE),"")</f>
        <v/>
      </c>
      <c r="AD109" s="291"/>
      <c r="AE109" s="297"/>
      <c r="AF109" s="294">
        <f t="shared" si="4"/>
        <v>0</v>
      </c>
      <c r="AG109" s="522"/>
      <c r="AP109" s="104" t="str">
        <f>IF($L$16="", "", VLOOKUP(Z109,【参考】数式用!$A$2:$O$57,14,FALSE))</f>
        <v/>
      </c>
      <c r="AQ109" s="28" t="e">
        <f>VLOOKUP(Z109,【参考】数式用!$A$2:$O$57,15,FALSE)</f>
        <v>#N/A</v>
      </c>
    </row>
    <row r="110" spans="1:43" ht="49.95" customHeight="1">
      <c r="A110" s="51">
        <f t="shared" si="3"/>
        <v>76</v>
      </c>
      <c r="B110" s="689"/>
      <c r="C110" s="690"/>
      <c r="D110" s="690"/>
      <c r="E110" s="690"/>
      <c r="F110" s="690"/>
      <c r="G110" s="690"/>
      <c r="H110" s="690"/>
      <c r="I110" s="690"/>
      <c r="J110" s="690"/>
      <c r="K110" s="690"/>
      <c r="L110" s="688"/>
      <c r="M110" s="688"/>
      <c r="N110" s="688"/>
      <c r="O110" s="688"/>
      <c r="P110" s="688"/>
      <c r="Q110" s="669"/>
      <c r="R110" s="669"/>
      <c r="S110" s="669"/>
      <c r="T110" s="669"/>
      <c r="U110" s="669"/>
      <c r="V110" s="293"/>
      <c r="W110" s="668"/>
      <c r="X110" s="668"/>
      <c r="Y110" s="668"/>
      <c r="Z110" s="668"/>
      <c r="AA110" s="668"/>
      <c r="AB110" s="668"/>
      <c r="AC110" s="114" t="str">
        <f>IFERROR(VLOOKUP(Z110,【参考】数式用!$A$4:$B$57,2,FALSE),"")</f>
        <v/>
      </c>
      <c r="AD110" s="291"/>
      <c r="AE110" s="297"/>
      <c r="AF110" s="294">
        <f t="shared" si="4"/>
        <v>0</v>
      </c>
      <c r="AG110" s="522"/>
      <c r="AP110" s="104" t="str">
        <f>IF($L$16="", "", VLOOKUP(Z110,【参考】数式用!$A$2:$O$57,14,FALSE))</f>
        <v/>
      </c>
      <c r="AQ110" s="28" t="e">
        <f>VLOOKUP(Z110,【参考】数式用!$A$2:$O$57,15,FALSE)</f>
        <v>#N/A</v>
      </c>
    </row>
    <row r="111" spans="1:43" ht="49.95" customHeight="1">
      <c r="A111" s="51">
        <f t="shared" si="3"/>
        <v>77</v>
      </c>
      <c r="B111" s="689"/>
      <c r="C111" s="690"/>
      <c r="D111" s="690"/>
      <c r="E111" s="690"/>
      <c r="F111" s="690"/>
      <c r="G111" s="690"/>
      <c r="H111" s="690"/>
      <c r="I111" s="690"/>
      <c r="J111" s="690"/>
      <c r="K111" s="690"/>
      <c r="L111" s="688"/>
      <c r="M111" s="688"/>
      <c r="N111" s="688"/>
      <c r="O111" s="688"/>
      <c r="P111" s="688"/>
      <c r="Q111" s="669"/>
      <c r="R111" s="669"/>
      <c r="S111" s="669"/>
      <c r="T111" s="669"/>
      <c r="U111" s="669"/>
      <c r="V111" s="293"/>
      <c r="W111" s="668"/>
      <c r="X111" s="668"/>
      <c r="Y111" s="668"/>
      <c r="Z111" s="668"/>
      <c r="AA111" s="668"/>
      <c r="AB111" s="668"/>
      <c r="AC111" s="114" t="str">
        <f>IFERROR(VLOOKUP(Z111,【参考】数式用!$A$4:$B$57,2,FALSE),"")</f>
        <v/>
      </c>
      <c r="AD111" s="291"/>
      <c r="AE111" s="297"/>
      <c r="AF111" s="294">
        <f t="shared" si="4"/>
        <v>0</v>
      </c>
      <c r="AG111" s="522"/>
      <c r="AP111" s="104" t="str">
        <f>IF($L$16="", "", VLOOKUP(Z111,【参考】数式用!$A$2:$O$57,14,FALSE))</f>
        <v/>
      </c>
      <c r="AQ111" s="28" t="e">
        <f>VLOOKUP(Z111,【参考】数式用!$A$2:$O$57,15,FALSE)</f>
        <v>#N/A</v>
      </c>
    </row>
    <row r="112" spans="1:43" ht="49.95" customHeight="1">
      <c r="A112" s="51">
        <f t="shared" si="3"/>
        <v>78</v>
      </c>
      <c r="B112" s="689"/>
      <c r="C112" s="690"/>
      <c r="D112" s="690"/>
      <c r="E112" s="690"/>
      <c r="F112" s="690"/>
      <c r="G112" s="690"/>
      <c r="H112" s="690"/>
      <c r="I112" s="690"/>
      <c r="J112" s="690"/>
      <c r="K112" s="690"/>
      <c r="L112" s="688"/>
      <c r="M112" s="688"/>
      <c r="N112" s="688"/>
      <c r="O112" s="688"/>
      <c r="P112" s="688"/>
      <c r="Q112" s="669"/>
      <c r="R112" s="669"/>
      <c r="S112" s="669"/>
      <c r="T112" s="669"/>
      <c r="U112" s="669"/>
      <c r="V112" s="293"/>
      <c r="W112" s="668"/>
      <c r="X112" s="668"/>
      <c r="Y112" s="668"/>
      <c r="Z112" s="668"/>
      <c r="AA112" s="668"/>
      <c r="AB112" s="668"/>
      <c r="AC112" s="114" t="str">
        <f>IFERROR(VLOOKUP(Z112,【参考】数式用!$A$4:$B$57,2,FALSE),"")</f>
        <v/>
      </c>
      <c r="AD112" s="291"/>
      <c r="AE112" s="297"/>
      <c r="AF112" s="294">
        <f t="shared" si="4"/>
        <v>0</v>
      </c>
      <c r="AG112" s="522"/>
      <c r="AP112" s="104" t="str">
        <f>IF($L$16="", "", VLOOKUP(Z112,【参考】数式用!$A$2:$O$57,14,FALSE))</f>
        <v/>
      </c>
      <c r="AQ112" s="28" t="e">
        <f>VLOOKUP(Z112,【参考】数式用!$A$2:$O$57,15,FALSE)</f>
        <v>#N/A</v>
      </c>
    </row>
    <row r="113" spans="1:43" ht="49.95" customHeight="1">
      <c r="A113" s="51">
        <f t="shared" si="3"/>
        <v>79</v>
      </c>
      <c r="B113" s="689"/>
      <c r="C113" s="690"/>
      <c r="D113" s="690"/>
      <c r="E113" s="690"/>
      <c r="F113" s="690"/>
      <c r="G113" s="690"/>
      <c r="H113" s="690"/>
      <c r="I113" s="690"/>
      <c r="J113" s="690"/>
      <c r="K113" s="690"/>
      <c r="L113" s="688"/>
      <c r="M113" s="688"/>
      <c r="N113" s="688"/>
      <c r="O113" s="688"/>
      <c r="P113" s="688"/>
      <c r="Q113" s="669"/>
      <c r="R113" s="669"/>
      <c r="S113" s="669"/>
      <c r="T113" s="669"/>
      <c r="U113" s="669"/>
      <c r="V113" s="293"/>
      <c r="W113" s="668"/>
      <c r="X113" s="668"/>
      <c r="Y113" s="668"/>
      <c r="Z113" s="668"/>
      <c r="AA113" s="668"/>
      <c r="AB113" s="668"/>
      <c r="AC113" s="114" t="str">
        <f>IFERROR(VLOOKUP(Z113,【参考】数式用!$A$4:$B$57,2,FALSE),"")</f>
        <v/>
      </c>
      <c r="AD113" s="291"/>
      <c r="AE113" s="297"/>
      <c r="AF113" s="294">
        <f t="shared" si="4"/>
        <v>0</v>
      </c>
      <c r="AG113" s="522"/>
      <c r="AP113" s="104" t="str">
        <f>IF($L$16="", "", VLOOKUP(Z113,【参考】数式用!$A$2:$O$57,14,FALSE))</f>
        <v/>
      </c>
      <c r="AQ113" s="28" t="e">
        <f>VLOOKUP(Z113,【参考】数式用!$A$2:$O$57,15,FALSE)</f>
        <v>#N/A</v>
      </c>
    </row>
    <row r="114" spans="1:43" ht="49.95" customHeight="1">
      <c r="A114" s="51">
        <f t="shared" si="3"/>
        <v>80</v>
      </c>
      <c r="B114" s="689"/>
      <c r="C114" s="690"/>
      <c r="D114" s="690"/>
      <c r="E114" s="690"/>
      <c r="F114" s="690"/>
      <c r="G114" s="690"/>
      <c r="H114" s="690"/>
      <c r="I114" s="690"/>
      <c r="J114" s="690"/>
      <c r="K114" s="690"/>
      <c r="L114" s="688"/>
      <c r="M114" s="688"/>
      <c r="N114" s="688"/>
      <c r="O114" s="688"/>
      <c r="P114" s="688"/>
      <c r="Q114" s="669"/>
      <c r="R114" s="669"/>
      <c r="S114" s="669"/>
      <c r="T114" s="669"/>
      <c r="U114" s="669"/>
      <c r="V114" s="293"/>
      <c r="W114" s="668"/>
      <c r="X114" s="668"/>
      <c r="Y114" s="668"/>
      <c r="Z114" s="668"/>
      <c r="AA114" s="668"/>
      <c r="AB114" s="668"/>
      <c r="AC114" s="114" t="str">
        <f>IFERROR(VLOOKUP(Z114,【参考】数式用!$A$4:$B$57,2,FALSE),"")</f>
        <v/>
      </c>
      <c r="AD114" s="291"/>
      <c r="AE114" s="297"/>
      <c r="AF114" s="294">
        <f t="shared" si="4"/>
        <v>0</v>
      </c>
      <c r="AG114" s="522"/>
      <c r="AP114" s="104" t="str">
        <f>IF($L$16="", "", VLOOKUP(Z114,【参考】数式用!$A$2:$O$57,14,FALSE))</f>
        <v/>
      </c>
      <c r="AQ114" s="28" t="e">
        <f>VLOOKUP(Z114,【参考】数式用!$A$2:$O$57,15,FALSE)</f>
        <v>#N/A</v>
      </c>
    </row>
    <row r="115" spans="1:43" ht="49.95" customHeight="1">
      <c r="A115" s="51">
        <f t="shared" si="3"/>
        <v>81</v>
      </c>
      <c r="B115" s="689"/>
      <c r="C115" s="690"/>
      <c r="D115" s="690"/>
      <c r="E115" s="690"/>
      <c r="F115" s="690"/>
      <c r="G115" s="690"/>
      <c r="H115" s="690"/>
      <c r="I115" s="690"/>
      <c r="J115" s="690"/>
      <c r="K115" s="690"/>
      <c r="L115" s="688"/>
      <c r="M115" s="688"/>
      <c r="N115" s="688"/>
      <c r="O115" s="688"/>
      <c r="P115" s="688"/>
      <c r="Q115" s="669"/>
      <c r="R115" s="669"/>
      <c r="S115" s="669"/>
      <c r="T115" s="669"/>
      <c r="U115" s="669"/>
      <c r="V115" s="293"/>
      <c r="W115" s="668"/>
      <c r="X115" s="668"/>
      <c r="Y115" s="668"/>
      <c r="Z115" s="668"/>
      <c r="AA115" s="668"/>
      <c r="AB115" s="668"/>
      <c r="AC115" s="114" t="str">
        <f>IFERROR(VLOOKUP(Z115,【参考】数式用!$A$4:$B$57,2,FALSE),"")</f>
        <v/>
      </c>
      <c r="AD115" s="291"/>
      <c r="AE115" s="297"/>
      <c r="AF115" s="294">
        <f t="shared" si="4"/>
        <v>0</v>
      </c>
      <c r="AG115" s="522"/>
      <c r="AP115" s="104" t="str">
        <f>IF($L$16="", "", VLOOKUP(Z115,【参考】数式用!$A$2:$O$57,14,FALSE))</f>
        <v/>
      </c>
      <c r="AQ115" s="28" t="e">
        <f>VLOOKUP(Z115,【参考】数式用!$A$2:$O$57,15,FALSE)</f>
        <v>#N/A</v>
      </c>
    </row>
    <row r="116" spans="1:43" ht="49.95" customHeight="1">
      <c r="A116" s="51">
        <f t="shared" si="3"/>
        <v>82</v>
      </c>
      <c r="B116" s="689"/>
      <c r="C116" s="690"/>
      <c r="D116" s="690"/>
      <c r="E116" s="690"/>
      <c r="F116" s="690"/>
      <c r="G116" s="690"/>
      <c r="H116" s="690"/>
      <c r="I116" s="690"/>
      <c r="J116" s="690"/>
      <c r="K116" s="690"/>
      <c r="L116" s="688"/>
      <c r="M116" s="688"/>
      <c r="N116" s="688"/>
      <c r="O116" s="688"/>
      <c r="P116" s="688"/>
      <c r="Q116" s="669"/>
      <c r="R116" s="669"/>
      <c r="S116" s="669"/>
      <c r="T116" s="669"/>
      <c r="U116" s="669"/>
      <c r="V116" s="293"/>
      <c r="W116" s="668"/>
      <c r="X116" s="668"/>
      <c r="Y116" s="668"/>
      <c r="Z116" s="668"/>
      <c r="AA116" s="668"/>
      <c r="AB116" s="668"/>
      <c r="AC116" s="114" t="str">
        <f>IFERROR(VLOOKUP(Z116,【参考】数式用!$A$4:$B$57,2,FALSE),"")</f>
        <v/>
      </c>
      <c r="AD116" s="291"/>
      <c r="AE116" s="297"/>
      <c r="AF116" s="294">
        <f t="shared" si="4"/>
        <v>0</v>
      </c>
      <c r="AG116" s="522"/>
      <c r="AP116" s="104" t="str">
        <f>IF($L$16="", "", VLOOKUP(Z116,【参考】数式用!$A$2:$O$57,14,FALSE))</f>
        <v/>
      </c>
      <c r="AQ116" s="28" t="e">
        <f>VLOOKUP(Z116,【参考】数式用!$A$2:$O$57,15,FALSE)</f>
        <v>#N/A</v>
      </c>
    </row>
    <row r="117" spans="1:43" ht="49.95" customHeight="1">
      <c r="A117" s="51">
        <f t="shared" si="3"/>
        <v>83</v>
      </c>
      <c r="B117" s="689"/>
      <c r="C117" s="690"/>
      <c r="D117" s="690"/>
      <c r="E117" s="690"/>
      <c r="F117" s="690"/>
      <c r="G117" s="690"/>
      <c r="H117" s="690"/>
      <c r="I117" s="690"/>
      <c r="J117" s="690"/>
      <c r="K117" s="690"/>
      <c r="L117" s="688"/>
      <c r="M117" s="688"/>
      <c r="N117" s="688"/>
      <c r="O117" s="688"/>
      <c r="P117" s="688"/>
      <c r="Q117" s="669"/>
      <c r="R117" s="669"/>
      <c r="S117" s="669"/>
      <c r="T117" s="669"/>
      <c r="U117" s="669"/>
      <c r="V117" s="293"/>
      <c r="W117" s="668"/>
      <c r="X117" s="668"/>
      <c r="Y117" s="668"/>
      <c r="Z117" s="668"/>
      <c r="AA117" s="668"/>
      <c r="AB117" s="668"/>
      <c r="AC117" s="114" t="str">
        <f>IFERROR(VLOOKUP(Z117,【参考】数式用!$A$4:$B$57,2,FALSE),"")</f>
        <v/>
      </c>
      <c r="AD117" s="291"/>
      <c r="AE117" s="297"/>
      <c r="AF117" s="294">
        <f t="shared" si="4"/>
        <v>0</v>
      </c>
      <c r="AG117" s="522"/>
      <c r="AP117" s="104" t="str">
        <f>IF($L$16="", "", VLOOKUP(Z117,【参考】数式用!$A$2:$O$57,14,FALSE))</f>
        <v/>
      </c>
      <c r="AQ117" s="28" t="e">
        <f>VLOOKUP(Z117,【参考】数式用!$A$2:$O$57,15,FALSE)</f>
        <v>#N/A</v>
      </c>
    </row>
    <row r="118" spans="1:43" ht="49.95" customHeight="1">
      <c r="A118" s="51">
        <f t="shared" si="3"/>
        <v>84</v>
      </c>
      <c r="B118" s="689"/>
      <c r="C118" s="690"/>
      <c r="D118" s="690"/>
      <c r="E118" s="690"/>
      <c r="F118" s="690"/>
      <c r="G118" s="690"/>
      <c r="H118" s="690"/>
      <c r="I118" s="690"/>
      <c r="J118" s="690"/>
      <c r="K118" s="690"/>
      <c r="L118" s="688"/>
      <c r="M118" s="688"/>
      <c r="N118" s="688"/>
      <c r="O118" s="688"/>
      <c r="P118" s="688"/>
      <c r="Q118" s="669"/>
      <c r="R118" s="669"/>
      <c r="S118" s="669"/>
      <c r="T118" s="669"/>
      <c r="U118" s="669"/>
      <c r="V118" s="293"/>
      <c r="W118" s="668"/>
      <c r="X118" s="668"/>
      <c r="Y118" s="668"/>
      <c r="Z118" s="668"/>
      <c r="AA118" s="668"/>
      <c r="AB118" s="668"/>
      <c r="AC118" s="114" t="str">
        <f>IFERROR(VLOOKUP(Z118,【参考】数式用!$A$4:$B$57,2,FALSE),"")</f>
        <v/>
      </c>
      <c r="AD118" s="291"/>
      <c r="AE118" s="297"/>
      <c r="AF118" s="294">
        <f t="shared" si="4"/>
        <v>0</v>
      </c>
      <c r="AG118" s="522"/>
      <c r="AP118" s="104" t="str">
        <f>IF($L$16="", "", VLOOKUP(Z118,【参考】数式用!$A$2:$O$57,14,FALSE))</f>
        <v/>
      </c>
      <c r="AQ118" s="28" t="e">
        <f>VLOOKUP(Z118,【参考】数式用!$A$2:$O$57,15,FALSE)</f>
        <v>#N/A</v>
      </c>
    </row>
    <row r="119" spans="1:43" ht="49.95" customHeight="1">
      <c r="A119" s="51">
        <f t="shared" si="3"/>
        <v>85</v>
      </c>
      <c r="B119" s="689"/>
      <c r="C119" s="690"/>
      <c r="D119" s="690"/>
      <c r="E119" s="690"/>
      <c r="F119" s="690"/>
      <c r="G119" s="690"/>
      <c r="H119" s="690"/>
      <c r="I119" s="690"/>
      <c r="J119" s="690"/>
      <c r="K119" s="690"/>
      <c r="L119" s="688"/>
      <c r="M119" s="688"/>
      <c r="N119" s="688"/>
      <c r="O119" s="688"/>
      <c r="P119" s="688"/>
      <c r="Q119" s="669"/>
      <c r="R119" s="669"/>
      <c r="S119" s="669"/>
      <c r="T119" s="669"/>
      <c r="U119" s="669"/>
      <c r="V119" s="293"/>
      <c r="W119" s="668"/>
      <c r="X119" s="668"/>
      <c r="Y119" s="668"/>
      <c r="Z119" s="668"/>
      <c r="AA119" s="668"/>
      <c r="AB119" s="668"/>
      <c r="AC119" s="114" t="str">
        <f>IFERROR(VLOOKUP(Z119,【参考】数式用!$A$4:$B$57,2,FALSE),"")</f>
        <v/>
      </c>
      <c r="AD119" s="291"/>
      <c r="AE119" s="297"/>
      <c r="AF119" s="294">
        <f t="shared" si="4"/>
        <v>0</v>
      </c>
      <c r="AG119" s="522"/>
      <c r="AP119" s="104" t="str">
        <f>IF($L$16="", "", VLOOKUP(Z119,【参考】数式用!$A$2:$O$57,14,FALSE))</f>
        <v/>
      </c>
      <c r="AQ119" s="28" t="e">
        <f>VLOOKUP(Z119,【参考】数式用!$A$2:$O$57,15,FALSE)</f>
        <v>#N/A</v>
      </c>
    </row>
    <row r="120" spans="1:43" ht="49.95" customHeight="1">
      <c r="A120" s="51">
        <f t="shared" si="3"/>
        <v>86</v>
      </c>
      <c r="B120" s="689"/>
      <c r="C120" s="690"/>
      <c r="D120" s="690"/>
      <c r="E120" s="690"/>
      <c r="F120" s="690"/>
      <c r="G120" s="690"/>
      <c r="H120" s="690"/>
      <c r="I120" s="690"/>
      <c r="J120" s="690"/>
      <c r="K120" s="690"/>
      <c r="L120" s="688"/>
      <c r="M120" s="688"/>
      <c r="N120" s="688"/>
      <c r="O120" s="688"/>
      <c r="P120" s="688"/>
      <c r="Q120" s="669"/>
      <c r="R120" s="669"/>
      <c r="S120" s="669"/>
      <c r="T120" s="669"/>
      <c r="U120" s="669"/>
      <c r="V120" s="293"/>
      <c r="W120" s="668"/>
      <c r="X120" s="668"/>
      <c r="Y120" s="668"/>
      <c r="Z120" s="668"/>
      <c r="AA120" s="668"/>
      <c r="AB120" s="668"/>
      <c r="AC120" s="114" t="str">
        <f>IFERROR(VLOOKUP(Z120,【参考】数式用!$A$4:$B$57,2,FALSE),"")</f>
        <v/>
      </c>
      <c r="AD120" s="291"/>
      <c r="AE120" s="297"/>
      <c r="AF120" s="294">
        <f t="shared" si="4"/>
        <v>0</v>
      </c>
      <c r="AG120" s="522"/>
      <c r="AP120" s="104" t="str">
        <f>IF($L$16="", "", VLOOKUP(Z120,【参考】数式用!$A$2:$O$57,14,FALSE))</f>
        <v/>
      </c>
      <c r="AQ120" s="28" t="e">
        <f>VLOOKUP(Z120,【参考】数式用!$A$2:$O$57,15,FALSE)</f>
        <v>#N/A</v>
      </c>
    </row>
    <row r="121" spans="1:43" ht="49.95" customHeight="1">
      <c r="A121" s="51">
        <f t="shared" si="3"/>
        <v>87</v>
      </c>
      <c r="B121" s="689"/>
      <c r="C121" s="690"/>
      <c r="D121" s="690"/>
      <c r="E121" s="690"/>
      <c r="F121" s="690"/>
      <c r="G121" s="690"/>
      <c r="H121" s="690"/>
      <c r="I121" s="690"/>
      <c r="J121" s="690"/>
      <c r="K121" s="690"/>
      <c r="L121" s="688"/>
      <c r="M121" s="688"/>
      <c r="N121" s="688"/>
      <c r="O121" s="688"/>
      <c r="P121" s="688"/>
      <c r="Q121" s="669"/>
      <c r="R121" s="669"/>
      <c r="S121" s="669"/>
      <c r="T121" s="669"/>
      <c r="U121" s="669"/>
      <c r="V121" s="293"/>
      <c r="W121" s="668"/>
      <c r="X121" s="668"/>
      <c r="Y121" s="668"/>
      <c r="Z121" s="668"/>
      <c r="AA121" s="668"/>
      <c r="AB121" s="668"/>
      <c r="AC121" s="114" t="str">
        <f>IFERROR(VLOOKUP(Z121,【参考】数式用!$A$4:$B$57,2,FALSE),"")</f>
        <v/>
      </c>
      <c r="AD121" s="291"/>
      <c r="AE121" s="297"/>
      <c r="AF121" s="294">
        <f t="shared" si="4"/>
        <v>0</v>
      </c>
      <c r="AG121" s="522"/>
      <c r="AP121" s="104" t="str">
        <f>IF($L$16="", "", VLOOKUP(Z121,【参考】数式用!$A$2:$O$57,14,FALSE))</f>
        <v/>
      </c>
      <c r="AQ121" s="28" t="e">
        <f>VLOOKUP(Z121,【参考】数式用!$A$2:$O$57,15,FALSE)</f>
        <v>#N/A</v>
      </c>
    </row>
    <row r="122" spans="1:43" ht="49.95" customHeight="1">
      <c r="A122" s="51">
        <f t="shared" si="3"/>
        <v>88</v>
      </c>
      <c r="B122" s="689"/>
      <c r="C122" s="690"/>
      <c r="D122" s="690"/>
      <c r="E122" s="690"/>
      <c r="F122" s="690"/>
      <c r="G122" s="690"/>
      <c r="H122" s="690"/>
      <c r="I122" s="690"/>
      <c r="J122" s="690"/>
      <c r="K122" s="690"/>
      <c r="L122" s="688"/>
      <c r="M122" s="688"/>
      <c r="N122" s="688"/>
      <c r="O122" s="688"/>
      <c r="P122" s="688"/>
      <c r="Q122" s="669"/>
      <c r="R122" s="669"/>
      <c r="S122" s="669"/>
      <c r="T122" s="669"/>
      <c r="U122" s="669"/>
      <c r="V122" s="293"/>
      <c r="W122" s="668"/>
      <c r="X122" s="668"/>
      <c r="Y122" s="668"/>
      <c r="Z122" s="668"/>
      <c r="AA122" s="668"/>
      <c r="AB122" s="668"/>
      <c r="AC122" s="114" t="str">
        <f>IFERROR(VLOOKUP(Z122,【参考】数式用!$A$4:$B$57,2,FALSE),"")</f>
        <v/>
      </c>
      <c r="AD122" s="291"/>
      <c r="AE122" s="297"/>
      <c r="AF122" s="294">
        <f t="shared" si="4"/>
        <v>0</v>
      </c>
      <c r="AG122" s="522"/>
      <c r="AP122" s="104" t="str">
        <f>IF($L$16="", "", VLOOKUP(Z122,【参考】数式用!$A$2:$O$57,14,FALSE))</f>
        <v/>
      </c>
      <c r="AQ122" s="28" t="e">
        <f>VLOOKUP(Z122,【参考】数式用!$A$2:$O$57,15,FALSE)</f>
        <v>#N/A</v>
      </c>
    </row>
    <row r="123" spans="1:43" ht="49.95" customHeight="1">
      <c r="A123" s="51">
        <f t="shared" si="3"/>
        <v>89</v>
      </c>
      <c r="B123" s="689"/>
      <c r="C123" s="690"/>
      <c r="D123" s="690"/>
      <c r="E123" s="690"/>
      <c r="F123" s="690"/>
      <c r="G123" s="690"/>
      <c r="H123" s="690"/>
      <c r="I123" s="690"/>
      <c r="J123" s="690"/>
      <c r="K123" s="690"/>
      <c r="L123" s="688"/>
      <c r="M123" s="688"/>
      <c r="N123" s="688"/>
      <c r="O123" s="688"/>
      <c r="P123" s="688"/>
      <c r="Q123" s="669"/>
      <c r="R123" s="669"/>
      <c r="S123" s="669"/>
      <c r="T123" s="669"/>
      <c r="U123" s="669"/>
      <c r="V123" s="293"/>
      <c r="W123" s="668"/>
      <c r="X123" s="668"/>
      <c r="Y123" s="668"/>
      <c r="Z123" s="668"/>
      <c r="AA123" s="668"/>
      <c r="AB123" s="668"/>
      <c r="AC123" s="114" t="str">
        <f>IFERROR(VLOOKUP(Z123,【参考】数式用!$A$4:$B$57,2,FALSE),"")</f>
        <v/>
      </c>
      <c r="AD123" s="291"/>
      <c r="AE123" s="297"/>
      <c r="AF123" s="294">
        <f t="shared" si="4"/>
        <v>0</v>
      </c>
      <c r="AG123" s="522"/>
      <c r="AP123" s="104" t="str">
        <f>IF($L$16="", "", VLOOKUP(Z123,【参考】数式用!$A$2:$O$57,14,FALSE))</f>
        <v/>
      </c>
      <c r="AQ123" s="28" t="e">
        <f>VLOOKUP(Z123,【参考】数式用!$A$2:$O$57,15,FALSE)</f>
        <v>#N/A</v>
      </c>
    </row>
    <row r="124" spans="1:43" ht="49.95" customHeight="1">
      <c r="A124" s="51">
        <f t="shared" si="3"/>
        <v>90</v>
      </c>
      <c r="B124" s="689"/>
      <c r="C124" s="690"/>
      <c r="D124" s="690"/>
      <c r="E124" s="690"/>
      <c r="F124" s="690"/>
      <c r="G124" s="690"/>
      <c r="H124" s="690"/>
      <c r="I124" s="690"/>
      <c r="J124" s="690"/>
      <c r="K124" s="690"/>
      <c r="L124" s="688"/>
      <c r="M124" s="688"/>
      <c r="N124" s="688"/>
      <c r="O124" s="688"/>
      <c r="P124" s="688"/>
      <c r="Q124" s="669"/>
      <c r="R124" s="669"/>
      <c r="S124" s="669"/>
      <c r="T124" s="669"/>
      <c r="U124" s="669"/>
      <c r="V124" s="293"/>
      <c r="W124" s="668"/>
      <c r="X124" s="668"/>
      <c r="Y124" s="668"/>
      <c r="Z124" s="668"/>
      <c r="AA124" s="668"/>
      <c r="AB124" s="668"/>
      <c r="AC124" s="114" t="str">
        <f>IFERROR(VLOOKUP(Z124,【参考】数式用!$A$4:$B$57,2,FALSE),"")</f>
        <v/>
      </c>
      <c r="AD124" s="291"/>
      <c r="AE124" s="297"/>
      <c r="AF124" s="294">
        <f t="shared" si="4"/>
        <v>0</v>
      </c>
      <c r="AG124" s="522"/>
      <c r="AP124" s="104" t="str">
        <f>IF($L$16="", "", VLOOKUP(Z124,【参考】数式用!$A$2:$O$57,14,FALSE))</f>
        <v/>
      </c>
      <c r="AQ124" s="28" t="e">
        <f>VLOOKUP(Z124,【参考】数式用!$A$2:$O$57,15,FALSE)</f>
        <v>#N/A</v>
      </c>
    </row>
    <row r="125" spans="1:43" ht="49.95" customHeight="1">
      <c r="A125" s="51">
        <f t="shared" si="3"/>
        <v>91</v>
      </c>
      <c r="B125" s="689"/>
      <c r="C125" s="690"/>
      <c r="D125" s="690"/>
      <c r="E125" s="690"/>
      <c r="F125" s="690"/>
      <c r="G125" s="690"/>
      <c r="H125" s="690"/>
      <c r="I125" s="690"/>
      <c r="J125" s="690"/>
      <c r="K125" s="690"/>
      <c r="L125" s="688"/>
      <c r="M125" s="688"/>
      <c r="N125" s="688"/>
      <c r="O125" s="688"/>
      <c r="P125" s="688"/>
      <c r="Q125" s="669"/>
      <c r="R125" s="669"/>
      <c r="S125" s="669"/>
      <c r="T125" s="669"/>
      <c r="U125" s="669"/>
      <c r="V125" s="293"/>
      <c r="W125" s="668"/>
      <c r="X125" s="668"/>
      <c r="Y125" s="668"/>
      <c r="Z125" s="668"/>
      <c r="AA125" s="668"/>
      <c r="AB125" s="668"/>
      <c r="AC125" s="114" t="str">
        <f>IFERROR(VLOOKUP(Z125,【参考】数式用!$A$4:$B$57,2,FALSE),"")</f>
        <v/>
      </c>
      <c r="AD125" s="291"/>
      <c r="AE125" s="297"/>
      <c r="AF125" s="294">
        <f t="shared" si="4"/>
        <v>0</v>
      </c>
      <c r="AG125" s="522"/>
      <c r="AP125" s="104" t="str">
        <f>IF($L$16="", "", VLOOKUP(Z125,【参考】数式用!$A$2:$O$57,14,FALSE))</f>
        <v/>
      </c>
      <c r="AQ125" s="28" t="e">
        <f>VLOOKUP(Z125,【参考】数式用!$A$2:$O$57,15,FALSE)</f>
        <v>#N/A</v>
      </c>
    </row>
    <row r="126" spans="1:43" ht="49.95" customHeight="1">
      <c r="A126" s="51">
        <f t="shared" si="3"/>
        <v>92</v>
      </c>
      <c r="B126" s="689"/>
      <c r="C126" s="690"/>
      <c r="D126" s="690"/>
      <c r="E126" s="690"/>
      <c r="F126" s="690"/>
      <c r="G126" s="690"/>
      <c r="H126" s="690"/>
      <c r="I126" s="690"/>
      <c r="J126" s="690"/>
      <c r="K126" s="690"/>
      <c r="L126" s="688"/>
      <c r="M126" s="688"/>
      <c r="N126" s="688"/>
      <c r="O126" s="688"/>
      <c r="P126" s="688"/>
      <c r="Q126" s="669"/>
      <c r="R126" s="669"/>
      <c r="S126" s="669"/>
      <c r="T126" s="669"/>
      <c r="U126" s="669"/>
      <c r="V126" s="293"/>
      <c r="W126" s="668"/>
      <c r="X126" s="668"/>
      <c r="Y126" s="668"/>
      <c r="Z126" s="668"/>
      <c r="AA126" s="668"/>
      <c r="AB126" s="668"/>
      <c r="AC126" s="114" t="str">
        <f>IFERROR(VLOOKUP(Z126,【参考】数式用!$A$4:$B$57,2,FALSE),"")</f>
        <v/>
      </c>
      <c r="AD126" s="291"/>
      <c r="AE126" s="297"/>
      <c r="AF126" s="294">
        <f t="shared" si="4"/>
        <v>0</v>
      </c>
      <c r="AG126" s="522"/>
      <c r="AP126" s="104" t="str">
        <f>IF($L$16="", "", VLOOKUP(Z126,【参考】数式用!$A$2:$O$57,14,FALSE))</f>
        <v/>
      </c>
      <c r="AQ126" s="28" t="e">
        <f>VLOOKUP(Z126,【参考】数式用!$A$2:$O$57,15,FALSE)</f>
        <v>#N/A</v>
      </c>
    </row>
    <row r="127" spans="1:43" ht="49.95" customHeight="1">
      <c r="A127" s="51">
        <f t="shared" si="3"/>
        <v>93</v>
      </c>
      <c r="B127" s="689"/>
      <c r="C127" s="690"/>
      <c r="D127" s="690"/>
      <c r="E127" s="690"/>
      <c r="F127" s="690"/>
      <c r="G127" s="690"/>
      <c r="H127" s="690"/>
      <c r="I127" s="690"/>
      <c r="J127" s="690"/>
      <c r="K127" s="690"/>
      <c r="L127" s="688"/>
      <c r="M127" s="688"/>
      <c r="N127" s="688"/>
      <c r="O127" s="688"/>
      <c r="P127" s="688"/>
      <c r="Q127" s="669"/>
      <c r="R127" s="669"/>
      <c r="S127" s="669"/>
      <c r="T127" s="669"/>
      <c r="U127" s="669"/>
      <c r="V127" s="293"/>
      <c r="W127" s="668"/>
      <c r="X127" s="668"/>
      <c r="Y127" s="668"/>
      <c r="Z127" s="668"/>
      <c r="AA127" s="668"/>
      <c r="AB127" s="668"/>
      <c r="AC127" s="114" t="str">
        <f>IFERROR(VLOOKUP(Z127,【参考】数式用!$A$4:$B$57,2,FALSE),"")</f>
        <v/>
      </c>
      <c r="AD127" s="291"/>
      <c r="AE127" s="297"/>
      <c r="AF127" s="294">
        <f t="shared" si="4"/>
        <v>0</v>
      </c>
      <c r="AG127" s="522"/>
      <c r="AP127" s="104" t="str">
        <f>IF($L$16="", "", VLOOKUP(Z127,【参考】数式用!$A$2:$O$57,14,FALSE))</f>
        <v/>
      </c>
      <c r="AQ127" s="28" t="e">
        <f>VLOOKUP(Z127,【参考】数式用!$A$2:$O$57,15,FALSE)</f>
        <v>#N/A</v>
      </c>
    </row>
    <row r="128" spans="1:43" ht="49.95" customHeight="1">
      <c r="A128" s="51">
        <f t="shared" si="3"/>
        <v>94</v>
      </c>
      <c r="B128" s="689"/>
      <c r="C128" s="690"/>
      <c r="D128" s="690"/>
      <c r="E128" s="690"/>
      <c r="F128" s="690"/>
      <c r="G128" s="690"/>
      <c r="H128" s="690"/>
      <c r="I128" s="690"/>
      <c r="J128" s="690"/>
      <c r="K128" s="690"/>
      <c r="L128" s="688"/>
      <c r="M128" s="688"/>
      <c r="N128" s="688"/>
      <c r="O128" s="688"/>
      <c r="P128" s="688"/>
      <c r="Q128" s="669"/>
      <c r="R128" s="669"/>
      <c r="S128" s="669"/>
      <c r="T128" s="669"/>
      <c r="U128" s="669"/>
      <c r="V128" s="293"/>
      <c r="W128" s="668"/>
      <c r="X128" s="668"/>
      <c r="Y128" s="668"/>
      <c r="Z128" s="668"/>
      <c r="AA128" s="668"/>
      <c r="AB128" s="668"/>
      <c r="AC128" s="114" t="str">
        <f>IFERROR(VLOOKUP(Z128,【参考】数式用!$A$4:$B$57,2,FALSE),"")</f>
        <v/>
      </c>
      <c r="AD128" s="291"/>
      <c r="AE128" s="297"/>
      <c r="AF128" s="294">
        <f t="shared" si="4"/>
        <v>0</v>
      </c>
      <c r="AG128" s="522"/>
      <c r="AP128" s="104" t="str">
        <f>IF($L$16="", "", VLOOKUP(Z128,【参考】数式用!$A$2:$O$57,14,FALSE))</f>
        <v/>
      </c>
      <c r="AQ128" s="28" t="e">
        <f>VLOOKUP(Z128,【参考】数式用!$A$2:$O$57,15,FALSE)</f>
        <v>#N/A</v>
      </c>
    </row>
    <row r="129" spans="1:43" ht="49.95" customHeight="1">
      <c r="A129" s="51">
        <f t="shared" si="3"/>
        <v>95</v>
      </c>
      <c r="B129" s="689"/>
      <c r="C129" s="690"/>
      <c r="D129" s="690"/>
      <c r="E129" s="690"/>
      <c r="F129" s="690"/>
      <c r="G129" s="690"/>
      <c r="H129" s="690"/>
      <c r="I129" s="690"/>
      <c r="J129" s="690"/>
      <c r="K129" s="690"/>
      <c r="L129" s="688"/>
      <c r="M129" s="688"/>
      <c r="N129" s="688"/>
      <c r="O129" s="688"/>
      <c r="P129" s="688"/>
      <c r="Q129" s="669"/>
      <c r="R129" s="669"/>
      <c r="S129" s="669"/>
      <c r="T129" s="669"/>
      <c r="U129" s="669"/>
      <c r="V129" s="293"/>
      <c r="W129" s="668"/>
      <c r="X129" s="668"/>
      <c r="Y129" s="668"/>
      <c r="Z129" s="668"/>
      <c r="AA129" s="668"/>
      <c r="AB129" s="668"/>
      <c r="AC129" s="114" t="str">
        <f>IFERROR(VLOOKUP(Z129,【参考】数式用!$A$4:$B$57,2,FALSE),"")</f>
        <v/>
      </c>
      <c r="AD129" s="291"/>
      <c r="AE129" s="297"/>
      <c r="AF129" s="294">
        <f t="shared" si="4"/>
        <v>0</v>
      </c>
      <c r="AG129" s="522"/>
      <c r="AP129" s="104" t="str">
        <f>IF($L$16="", "", VLOOKUP(Z129,【参考】数式用!$A$2:$O$57,14,FALSE))</f>
        <v/>
      </c>
      <c r="AQ129" s="28" t="e">
        <f>VLOOKUP(Z129,【参考】数式用!$A$2:$O$57,15,FALSE)</f>
        <v>#N/A</v>
      </c>
    </row>
    <row r="130" spans="1:43" ht="49.95" customHeight="1">
      <c r="A130" s="51">
        <f t="shared" si="3"/>
        <v>96</v>
      </c>
      <c r="B130" s="689"/>
      <c r="C130" s="690"/>
      <c r="D130" s="690"/>
      <c r="E130" s="690"/>
      <c r="F130" s="690"/>
      <c r="G130" s="690"/>
      <c r="H130" s="690"/>
      <c r="I130" s="690"/>
      <c r="J130" s="690"/>
      <c r="K130" s="690"/>
      <c r="L130" s="688"/>
      <c r="M130" s="688"/>
      <c r="N130" s="688"/>
      <c r="O130" s="688"/>
      <c r="P130" s="688"/>
      <c r="Q130" s="669"/>
      <c r="R130" s="669"/>
      <c r="S130" s="669"/>
      <c r="T130" s="669"/>
      <c r="U130" s="669"/>
      <c r="V130" s="293"/>
      <c r="W130" s="668"/>
      <c r="X130" s="668"/>
      <c r="Y130" s="668"/>
      <c r="Z130" s="668"/>
      <c r="AA130" s="668"/>
      <c r="AB130" s="668"/>
      <c r="AC130" s="114" t="str">
        <f>IFERROR(VLOOKUP(Z130,【参考】数式用!$A$4:$B$57,2,FALSE),"")</f>
        <v/>
      </c>
      <c r="AD130" s="291"/>
      <c r="AE130" s="297"/>
      <c r="AF130" s="294">
        <f t="shared" si="4"/>
        <v>0</v>
      </c>
      <c r="AG130" s="522"/>
      <c r="AP130" s="104" t="str">
        <f>IF($L$16="", "", VLOOKUP(Z130,【参考】数式用!$A$2:$O$57,14,FALSE))</f>
        <v/>
      </c>
      <c r="AQ130" s="28" t="e">
        <f>VLOOKUP(Z130,【参考】数式用!$A$2:$O$57,15,FALSE)</f>
        <v>#N/A</v>
      </c>
    </row>
    <row r="131" spans="1:43" ht="49.95" customHeight="1">
      <c r="A131" s="51">
        <f t="shared" si="3"/>
        <v>97</v>
      </c>
      <c r="B131" s="689"/>
      <c r="C131" s="690"/>
      <c r="D131" s="690"/>
      <c r="E131" s="690"/>
      <c r="F131" s="690"/>
      <c r="G131" s="690"/>
      <c r="H131" s="690"/>
      <c r="I131" s="690"/>
      <c r="J131" s="690"/>
      <c r="K131" s="690"/>
      <c r="L131" s="688"/>
      <c r="M131" s="688"/>
      <c r="N131" s="688"/>
      <c r="O131" s="688"/>
      <c r="P131" s="688"/>
      <c r="Q131" s="669"/>
      <c r="R131" s="669"/>
      <c r="S131" s="669"/>
      <c r="T131" s="669"/>
      <c r="U131" s="669"/>
      <c r="V131" s="293"/>
      <c r="W131" s="668"/>
      <c r="X131" s="668"/>
      <c r="Y131" s="668"/>
      <c r="Z131" s="668"/>
      <c r="AA131" s="668"/>
      <c r="AB131" s="668"/>
      <c r="AC131" s="114" t="str">
        <f>IFERROR(VLOOKUP(Z131,【参考】数式用!$A$4:$B$57,2,FALSE),"")</f>
        <v/>
      </c>
      <c r="AD131" s="291"/>
      <c r="AE131" s="297"/>
      <c r="AF131" s="294">
        <f t="shared" si="4"/>
        <v>0</v>
      </c>
      <c r="AG131" s="522"/>
      <c r="AP131" s="104" t="str">
        <f>IF($L$16="", "", VLOOKUP(Z131,【参考】数式用!$A$2:$O$57,14,FALSE))</f>
        <v/>
      </c>
      <c r="AQ131" s="28" t="e">
        <f>VLOOKUP(Z131,【参考】数式用!$A$2:$O$57,15,FALSE)</f>
        <v>#N/A</v>
      </c>
    </row>
    <row r="132" spans="1:43" ht="49.95" customHeight="1">
      <c r="A132" s="51">
        <f t="shared" si="3"/>
        <v>98</v>
      </c>
      <c r="B132" s="689"/>
      <c r="C132" s="690"/>
      <c r="D132" s="690"/>
      <c r="E132" s="690"/>
      <c r="F132" s="690"/>
      <c r="G132" s="690"/>
      <c r="H132" s="690"/>
      <c r="I132" s="690"/>
      <c r="J132" s="690"/>
      <c r="K132" s="690"/>
      <c r="L132" s="688"/>
      <c r="M132" s="688"/>
      <c r="N132" s="688"/>
      <c r="O132" s="688"/>
      <c r="P132" s="688"/>
      <c r="Q132" s="669"/>
      <c r="R132" s="669"/>
      <c r="S132" s="669"/>
      <c r="T132" s="669"/>
      <c r="U132" s="669"/>
      <c r="V132" s="293"/>
      <c r="W132" s="668"/>
      <c r="X132" s="668"/>
      <c r="Y132" s="668"/>
      <c r="Z132" s="668"/>
      <c r="AA132" s="668"/>
      <c r="AB132" s="668"/>
      <c r="AC132" s="114" t="str">
        <f>IFERROR(VLOOKUP(Z132,【参考】数式用!$A$4:$B$57,2,FALSE),"")</f>
        <v/>
      </c>
      <c r="AD132" s="291"/>
      <c r="AE132" s="297"/>
      <c r="AF132" s="294">
        <f t="shared" si="4"/>
        <v>0</v>
      </c>
      <c r="AG132" s="522"/>
      <c r="AP132" s="104" t="str">
        <f>IF($L$16="", "", VLOOKUP(Z132,【参考】数式用!$A$2:$O$57,14,FALSE))</f>
        <v/>
      </c>
      <c r="AQ132" s="28" t="e">
        <f>VLOOKUP(Z132,【参考】数式用!$A$2:$O$57,15,FALSE)</f>
        <v>#N/A</v>
      </c>
    </row>
    <row r="133" spans="1:43" ht="49.95" customHeight="1">
      <c r="A133" s="51">
        <f t="shared" si="3"/>
        <v>99</v>
      </c>
      <c r="B133" s="689"/>
      <c r="C133" s="690"/>
      <c r="D133" s="690"/>
      <c r="E133" s="690"/>
      <c r="F133" s="690"/>
      <c r="G133" s="690"/>
      <c r="H133" s="690"/>
      <c r="I133" s="690"/>
      <c r="J133" s="690"/>
      <c r="K133" s="690"/>
      <c r="L133" s="688"/>
      <c r="M133" s="688"/>
      <c r="N133" s="688"/>
      <c r="O133" s="688"/>
      <c r="P133" s="688"/>
      <c r="Q133" s="669"/>
      <c r="R133" s="669"/>
      <c r="S133" s="669"/>
      <c r="T133" s="669"/>
      <c r="U133" s="669"/>
      <c r="V133" s="293"/>
      <c r="W133" s="668"/>
      <c r="X133" s="668"/>
      <c r="Y133" s="668"/>
      <c r="Z133" s="668"/>
      <c r="AA133" s="668"/>
      <c r="AB133" s="668"/>
      <c r="AC133" s="114" t="str">
        <f>IFERROR(VLOOKUP(Z133,【参考】数式用!$A$4:$B$57,2,FALSE),"")</f>
        <v/>
      </c>
      <c r="AD133" s="291"/>
      <c r="AE133" s="297"/>
      <c r="AF133" s="294">
        <f t="shared" si="4"/>
        <v>0</v>
      </c>
      <c r="AG133" s="522"/>
      <c r="AP133" s="104" t="str">
        <f>IF($L$16="", "", VLOOKUP(Z133,【参考】数式用!$A$2:$O$57,14,FALSE))</f>
        <v/>
      </c>
      <c r="AQ133" s="28" t="e">
        <f>VLOOKUP(Z133,【参考】数式用!$A$2:$O$57,15,FALSE)</f>
        <v>#N/A</v>
      </c>
    </row>
    <row r="134" spans="1:43" ht="49.95" customHeight="1">
      <c r="A134" s="51">
        <f t="shared" si="3"/>
        <v>100</v>
      </c>
      <c r="B134" s="689"/>
      <c r="C134" s="690"/>
      <c r="D134" s="690"/>
      <c r="E134" s="690"/>
      <c r="F134" s="690"/>
      <c r="G134" s="690"/>
      <c r="H134" s="690"/>
      <c r="I134" s="690"/>
      <c r="J134" s="690"/>
      <c r="K134" s="690"/>
      <c r="L134" s="688"/>
      <c r="M134" s="688"/>
      <c r="N134" s="688"/>
      <c r="O134" s="688"/>
      <c r="P134" s="688"/>
      <c r="Q134" s="669"/>
      <c r="R134" s="669"/>
      <c r="S134" s="669"/>
      <c r="T134" s="669"/>
      <c r="U134" s="669"/>
      <c r="V134" s="293"/>
      <c r="W134" s="668"/>
      <c r="X134" s="668"/>
      <c r="Y134" s="668"/>
      <c r="Z134" s="668"/>
      <c r="AA134" s="668"/>
      <c r="AB134" s="668"/>
      <c r="AC134" s="114" t="str">
        <f>IFERROR(VLOOKUP(Z134,【参考】数式用!$A$4:$B$57,2,FALSE),"")</f>
        <v/>
      </c>
      <c r="AD134" s="291"/>
      <c r="AE134" s="297"/>
      <c r="AF134" s="294">
        <f t="shared" si="4"/>
        <v>0</v>
      </c>
      <c r="AG134" s="522"/>
      <c r="AP134" s="104" t="str">
        <f>IF($L$16="", "", VLOOKUP(Z134,【参考】数式用!$A$2:$O$57,14,FALSE))</f>
        <v/>
      </c>
      <c r="AQ134" s="28" t="e">
        <f>VLOOKUP(Z134,【参考】数式用!$A$2:$O$57,15,FALSE)</f>
        <v>#N/A</v>
      </c>
    </row>
    <row r="135" spans="1:43" ht="49.95" customHeight="1" thickBot="1">
      <c r="A135" s="51">
        <f t="shared" si="3"/>
        <v>101</v>
      </c>
      <c r="B135" s="689"/>
      <c r="C135" s="690"/>
      <c r="D135" s="690"/>
      <c r="E135" s="690"/>
      <c r="F135" s="690"/>
      <c r="G135" s="690"/>
      <c r="H135" s="690"/>
      <c r="I135" s="690"/>
      <c r="J135" s="690"/>
      <c r="K135" s="690"/>
      <c r="L135" s="688"/>
      <c r="M135" s="688"/>
      <c r="N135" s="688"/>
      <c r="O135" s="688"/>
      <c r="P135" s="688"/>
      <c r="Q135" s="669"/>
      <c r="R135" s="669"/>
      <c r="S135" s="669"/>
      <c r="T135" s="669"/>
      <c r="U135" s="669"/>
      <c r="V135" s="293"/>
      <c r="W135" s="752"/>
      <c r="X135" s="752"/>
      <c r="Y135" s="752"/>
      <c r="Z135" s="668"/>
      <c r="AA135" s="668"/>
      <c r="AB135" s="668"/>
      <c r="AC135" s="298" t="str">
        <f>IFERROR(VLOOKUP(Z135,【参考】数式用!$A$4:$B$57,2,FALSE),"")</f>
        <v/>
      </c>
      <c r="AD135" s="299"/>
      <c r="AE135" s="300"/>
      <c r="AF135" s="294">
        <f t="shared" si="4"/>
        <v>0</v>
      </c>
      <c r="AG135" s="522"/>
      <c r="AP135" s="104" t="str">
        <f>IF($L$16="", "", VLOOKUP(Z135,【参考】数式用!$A$2:$O$57,14,FALSE))</f>
        <v/>
      </c>
      <c r="AQ135" s="28" t="e">
        <f>VLOOKUP(Z135,【参考】数式用!$A$2:$O$57,15,FALSE)</f>
        <v>#N/A</v>
      </c>
    </row>
  </sheetData>
  <sheetProtection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6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hidden="1" customWidth="1"/>
    <col min="55" max="58" width="4.109375" hidden="1" customWidth="1"/>
    <col min="59" max="59" width="9.88671875" hidden="1" customWidth="1"/>
    <col min="60" max="60" width="9.33203125" hidden="1" customWidth="1"/>
    <col min="61" max="63" width="4.10937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767" t="s">
        <v>3</v>
      </c>
      <c r="AD1" s="767"/>
      <c r="AE1" s="767"/>
      <c r="AF1" s="767" t="str">
        <f>IF(基本情報入力シート!C11="","",基本情報入力シート!C11)</f>
        <v/>
      </c>
      <c r="AG1" s="767"/>
      <c r="AH1" s="767"/>
      <c r="AI1" s="767"/>
      <c r="AJ1" s="767"/>
      <c r="AK1" s="768"/>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69" t="s">
        <v>2228</v>
      </c>
      <c r="C3" s="769"/>
      <c r="D3" s="769"/>
      <c r="E3" s="769"/>
      <c r="F3" s="769"/>
      <c r="G3" s="769"/>
      <c r="H3" s="769"/>
      <c r="I3" s="769"/>
      <c r="J3" s="769"/>
      <c r="K3" s="769"/>
      <c r="L3" s="769"/>
      <c r="M3" s="769"/>
      <c r="N3" s="769"/>
      <c r="O3" s="769"/>
      <c r="P3" s="769"/>
      <c r="Q3" s="769"/>
      <c r="R3" s="769"/>
      <c r="S3" s="769"/>
      <c r="T3" s="769"/>
      <c r="U3" s="769"/>
      <c r="V3" s="769"/>
      <c r="W3" s="769"/>
      <c r="X3" s="769"/>
      <c r="Y3" s="769"/>
      <c r="Z3" s="769"/>
      <c r="AA3" s="769"/>
      <c r="AB3" s="769"/>
      <c r="AC3" s="769"/>
      <c r="AD3" s="769"/>
      <c r="AE3" s="769"/>
      <c r="AF3" s="769"/>
      <c r="AG3" s="769"/>
      <c r="AH3" s="769"/>
      <c r="AI3" s="769"/>
      <c r="AJ3" s="769"/>
      <c r="AK3" s="769"/>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770" t="s">
        <v>8</v>
      </c>
      <c r="C5" s="770"/>
      <c r="D5" s="770"/>
      <c r="E5" s="770"/>
      <c r="F5" s="770"/>
      <c r="G5" s="770"/>
      <c r="H5" s="765" t="str">
        <f>IF(基本情報入力シート!L15="","",基本情報入力シート!L15)</f>
        <v/>
      </c>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6"/>
      <c r="AL5" s="19"/>
      <c r="AM5" s="19"/>
      <c r="AN5" s="19"/>
      <c r="AO5" s="19"/>
      <c r="AP5" s="19"/>
      <c r="AQ5" s="19"/>
      <c r="AR5" s="19"/>
      <c r="AS5" s="19"/>
      <c r="AT5" s="19"/>
      <c r="AU5" s="19"/>
      <c r="AV5" s="19"/>
      <c r="AW5" s="19"/>
      <c r="AX5" s="19"/>
      <c r="AY5" s="19"/>
    </row>
    <row r="6" spans="1:51" s="13" customFormat="1" ht="25.5" customHeight="1">
      <c r="A6" s="19"/>
      <c r="B6" s="771" t="s">
        <v>40</v>
      </c>
      <c r="C6" s="771"/>
      <c r="D6" s="771"/>
      <c r="E6" s="771"/>
      <c r="F6" s="771"/>
      <c r="G6" s="771"/>
      <c r="H6" s="772" t="str">
        <f>IF(基本情報入力シート!L16="","",基本情報入力シート!L16)</f>
        <v/>
      </c>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3"/>
      <c r="AL6" s="19"/>
      <c r="AM6" s="19"/>
      <c r="AN6" s="19"/>
      <c r="AO6" s="19"/>
      <c r="AP6" s="19"/>
      <c r="AQ6" s="19"/>
      <c r="AR6" s="19"/>
      <c r="AS6" s="19"/>
      <c r="AT6" s="19"/>
      <c r="AU6" s="19"/>
      <c r="AV6" s="19"/>
      <c r="AW6" s="19"/>
      <c r="AX6" s="19"/>
      <c r="AY6" s="19"/>
    </row>
    <row r="7" spans="1:51" s="13" customFormat="1" ht="12.75" customHeight="1">
      <c r="A7" s="19"/>
      <c r="B7" s="759" t="s">
        <v>41</v>
      </c>
      <c r="C7" s="759"/>
      <c r="D7" s="759"/>
      <c r="E7" s="759"/>
      <c r="F7" s="759"/>
      <c r="G7" s="759"/>
      <c r="H7" s="122" t="s">
        <v>11</v>
      </c>
      <c r="I7" s="760" t="str">
        <f>IF(基本情報入力シート!AO18="－","",基本情報入力シート!AO18)</f>
        <v>-</v>
      </c>
      <c r="J7" s="760"/>
      <c r="K7" s="760"/>
      <c r="L7" s="760"/>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2"/>
      <c r="AL7" s="19"/>
      <c r="AM7" s="19"/>
      <c r="AN7" s="19"/>
      <c r="AO7" s="19"/>
      <c r="AP7" s="19"/>
      <c r="AQ7" s="19"/>
      <c r="AR7" s="19"/>
      <c r="AS7" s="19"/>
      <c r="AT7" s="19"/>
      <c r="AU7" s="19"/>
      <c r="AV7" s="19"/>
      <c r="AW7" s="19"/>
      <c r="AX7" s="19"/>
      <c r="AY7" s="19"/>
    </row>
    <row r="8" spans="1:51" s="13" customFormat="1" ht="16.5" customHeight="1">
      <c r="A8" s="19"/>
      <c r="B8" s="759"/>
      <c r="C8" s="759"/>
      <c r="D8" s="759"/>
      <c r="E8" s="759"/>
      <c r="F8" s="759"/>
      <c r="G8" s="759"/>
      <c r="H8" s="761" t="str">
        <f>IF(基本情報入力シート!L18="","",基本情報入力シート!L18)</f>
        <v/>
      </c>
      <c r="I8" s="761"/>
      <c r="J8" s="761"/>
      <c r="K8" s="761"/>
      <c r="L8" s="761"/>
      <c r="M8" s="761"/>
      <c r="N8" s="761"/>
      <c r="O8" s="761"/>
      <c r="P8" s="761"/>
      <c r="Q8" s="761"/>
      <c r="R8" s="761"/>
      <c r="S8" s="761"/>
      <c r="T8" s="761"/>
      <c r="U8" s="761"/>
      <c r="V8" s="761"/>
      <c r="W8" s="761"/>
      <c r="X8" s="761"/>
      <c r="Y8" s="761"/>
      <c r="Z8" s="761"/>
      <c r="AA8" s="761"/>
      <c r="AB8" s="761"/>
      <c r="AC8" s="761"/>
      <c r="AD8" s="761"/>
      <c r="AE8" s="761"/>
      <c r="AF8" s="761"/>
      <c r="AG8" s="761"/>
      <c r="AH8" s="761"/>
      <c r="AI8" s="761"/>
      <c r="AJ8" s="761"/>
      <c r="AK8" s="761"/>
      <c r="AL8" s="19"/>
      <c r="AM8" s="19"/>
      <c r="AN8" s="19"/>
      <c r="AO8" s="19"/>
      <c r="AP8" s="19"/>
      <c r="AQ8" s="19"/>
      <c r="AR8" s="19"/>
      <c r="AS8" s="19"/>
      <c r="AT8" s="19"/>
      <c r="AU8" s="19"/>
      <c r="AV8" s="19"/>
      <c r="AW8" s="19"/>
      <c r="AX8" s="19"/>
      <c r="AY8" s="19" t="b">
        <v>1</v>
      </c>
    </row>
    <row r="9" spans="1:51" s="13" customFormat="1" ht="16.5" customHeight="1">
      <c r="A9" s="19"/>
      <c r="B9" s="759"/>
      <c r="C9" s="759"/>
      <c r="D9" s="759"/>
      <c r="E9" s="759"/>
      <c r="F9" s="759"/>
      <c r="G9" s="759"/>
      <c r="H9" s="762" t="str">
        <f>IF(基本情報入力シート!L19="","",基本情報入力シート!L19)</f>
        <v/>
      </c>
      <c r="I9" s="762"/>
      <c r="J9" s="762"/>
      <c r="K9" s="762"/>
      <c r="L9" s="762"/>
      <c r="M9" s="762"/>
      <c r="N9" s="762"/>
      <c r="O9" s="762"/>
      <c r="P9" s="762"/>
      <c r="Q9" s="762"/>
      <c r="R9" s="762"/>
      <c r="S9" s="762"/>
      <c r="T9" s="762"/>
      <c r="U9" s="762"/>
      <c r="V9" s="762"/>
      <c r="W9" s="762"/>
      <c r="X9" s="762"/>
      <c r="Y9" s="762"/>
      <c r="Z9" s="762"/>
      <c r="AA9" s="762"/>
      <c r="AB9" s="762"/>
      <c r="AC9" s="762"/>
      <c r="AD9" s="762"/>
      <c r="AE9" s="762"/>
      <c r="AF9" s="762"/>
      <c r="AG9" s="762"/>
      <c r="AH9" s="762"/>
      <c r="AI9" s="762"/>
      <c r="AJ9" s="762"/>
      <c r="AK9" s="763"/>
      <c r="AL9" s="19"/>
      <c r="AM9" s="19"/>
      <c r="AN9" s="19"/>
      <c r="AO9" s="19"/>
      <c r="AP9" s="19"/>
      <c r="AQ9" s="19"/>
      <c r="AR9" s="19"/>
      <c r="AS9" s="19"/>
      <c r="AT9" s="19"/>
      <c r="AU9" s="19"/>
      <c r="AV9" s="19"/>
      <c r="AW9" s="19"/>
      <c r="AX9" s="19"/>
      <c r="AY9" s="19"/>
    </row>
    <row r="10" spans="1:51" s="13" customFormat="1" ht="13.5" customHeight="1">
      <c r="A10" s="19"/>
      <c r="B10" s="764" t="s">
        <v>8</v>
      </c>
      <c r="C10" s="764"/>
      <c r="D10" s="764"/>
      <c r="E10" s="764"/>
      <c r="F10" s="764"/>
      <c r="G10" s="764"/>
      <c r="H10" s="765" t="str">
        <f>IF(基本情報入力シート!L23="","",基本情報入力シート!L23)</f>
        <v/>
      </c>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6"/>
      <c r="AL10" s="19"/>
      <c r="AM10" s="19"/>
      <c r="AN10" s="19"/>
      <c r="AO10" s="19"/>
      <c r="AP10" s="19"/>
      <c r="AQ10" s="19"/>
      <c r="AR10" s="19"/>
      <c r="AS10" s="19"/>
      <c r="AT10" s="19"/>
      <c r="AU10" s="19"/>
      <c r="AV10" s="19"/>
      <c r="AW10" s="19"/>
      <c r="AX10" s="19"/>
      <c r="AY10" s="19"/>
    </row>
    <row r="11" spans="1:51" s="13" customFormat="1" ht="22.5" customHeight="1">
      <c r="A11" s="19"/>
      <c r="B11" s="787" t="s">
        <v>42</v>
      </c>
      <c r="C11" s="787"/>
      <c r="D11" s="787"/>
      <c r="E11" s="787"/>
      <c r="F11" s="787"/>
      <c r="G11" s="787"/>
      <c r="H11" s="788" t="str">
        <f>IF(基本情報入力シート!L24="","",基本情報入力シート!L24)</f>
        <v/>
      </c>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9"/>
      <c r="AL11" s="19"/>
      <c r="AM11" s="19"/>
      <c r="AN11" s="19"/>
      <c r="AO11" s="19"/>
      <c r="AP11" s="19"/>
      <c r="AQ11" s="19"/>
      <c r="AR11" s="19"/>
      <c r="AS11" s="19"/>
      <c r="AT11" s="19"/>
      <c r="AU11" s="19"/>
      <c r="AV11" s="19"/>
      <c r="AW11" s="19"/>
      <c r="AX11" s="19"/>
      <c r="AY11" s="19"/>
    </row>
    <row r="12" spans="1:51" s="13" customFormat="1" ht="18.75" customHeight="1">
      <c r="A12" s="19"/>
      <c r="B12" s="790" t="s">
        <v>43</v>
      </c>
      <c r="C12" s="790"/>
      <c r="D12" s="790"/>
      <c r="E12" s="790"/>
      <c r="F12" s="790"/>
      <c r="G12" s="790"/>
      <c r="H12" s="790" t="s">
        <v>22</v>
      </c>
      <c r="I12" s="791"/>
      <c r="J12" s="791"/>
      <c r="K12" s="791"/>
      <c r="L12" s="792" t="str">
        <f>IF(基本情報入力シート!L25="","",基本情報入力シート!L25)</f>
        <v/>
      </c>
      <c r="M12" s="792"/>
      <c r="N12" s="792"/>
      <c r="O12" s="792"/>
      <c r="P12" s="792"/>
      <c r="Q12" s="792"/>
      <c r="R12" s="792"/>
      <c r="S12" s="792"/>
      <c r="T12" s="792"/>
      <c r="U12" s="792"/>
      <c r="V12" s="793" t="s">
        <v>23</v>
      </c>
      <c r="W12" s="793"/>
      <c r="X12" s="793"/>
      <c r="Y12" s="793"/>
      <c r="Z12" s="792" t="str">
        <f>IF(基本情報入力シート!L26="","",基本情報入力シート!L26)</f>
        <v/>
      </c>
      <c r="AA12" s="792"/>
      <c r="AB12" s="792"/>
      <c r="AC12" s="792"/>
      <c r="AD12" s="792"/>
      <c r="AE12" s="792"/>
      <c r="AF12" s="792"/>
      <c r="AG12" s="792"/>
      <c r="AH12" s="792"/>
      <c r="AI12" s="792"/>
      <c r="AJ12" s="792"/>
      <c r="AK12" s="794"/>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774" t="s">
        <v>45</v>
      </c>
      <c r="C15" s="774"/>
      <c r="D15" s="774"/>
      <c r="E15" s="774"/>
      <c r="F15" s="774"/>
      <c r="G15" s="774"/>
      <c r="H15" s="774"/>
      <c r="I15" s="774"/>
      <c r="J15" s="774"/>
      <c r="K15" s="774"/>
      <c r="L15" s="774"/>
      <c r="M15" s="774"/>
      <c r="N15" s="774"/>
      <c r="O15" s="774"/>
      <c r="P15" s="774"/>
      <c r="Q15" s="775"/>
      <c r="R15" s="775"/>
      <c r="S15" s="775"/>
      <c r="T15" s="775"/>
      <c r="U15" s="775"/>
      <c r="V15" s="775"/>
      <c r="W15" s="77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777" t="s">
        <v>47</v>
      </c>
      <c r="D16" s="777"/>
      <c r="E16" s="777"/>
      <c r="F16" s="777"/>
      <c r="G16" s="777"/>
      <c r="H16" s="777"/>
      <c r="I16" s="777"/>
      <c r="J16" s="777"/>
      <c r="K16" s="777"/>
      <c r="L16" s="777"/>
      <c r="M16" s="777"/>
      <c r="N16" s="777"/>
      <c r="O16" s="777"/>
      <c r="P16" s="777"/>
      <c r="Q16" s="778">
        <f>SUM('別紙様式2-2（個票（４、５月））'!L5:N5,'別紙様式2-3（個票（６月以降））'!K6)</f>
        <v>0</v>
      </c>
      <c r="R16" s="779"/>
      <c r="S16" s="779"/>
      <c r="T16" s="779"/>
      <c r="U16" s="779"/>
      <c r="V16" s="780"/>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8"/>
      <c r="C17" s="781" t="s">
        <v>2478</v>
      </c>
      <c r="D17" s="782"/>
      <c r="E17" s="782"/>
      <c r="F17" s="782"/>
      <c r="G17" s="782"/>
      <c r="H17" s="782"/>
      <c r="I17" s="782"/>
      <c r="J17" s="782"/>
      <c r="K17" s="782"/>
      <c r="L17" s="782"/>
      <c r="M17" s="782"/>
      <c r="N17" s="782"/>
      <c r="O17" s="782"/>
      <c r="P17" s="782"/>
      <c r="Q17" s="778">
        <f>SUM('別紙様式2-2（個票（４、５月））'!L7:N7,'別紙様式2-3（個票（６月以降））'!K8:O8)</f>
        <v>0</v>
      </c>
      <c r="R17" s="783"/>
      <c r="S17" s="783"/>
      <c r="T17" s="783"/>
      <c r="U17" s="783"/>
      <c r="V17" s="784"/>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9" t="s">
        <v>49</v>
      </c>
      <c r="C18" s="785" t="s">
        <v>2230</v>
      </c>
      <c r="D18" s="785"/>
      <c r="E18" s="785"/>
      <c r="F18" s="785"/>
      <c r="G18" s="785"/>
      <c r="H18" s="785"/>
      <c r="I18" s="785"/>
      <c r="J18" s="785"/>
      <c r="K18" s="785"/>
      <c r="L18" s="785"/>
      <c r="M18" s="785"/>
      <c r="N18" s="785"/>
      <c r="O18" s="785"/>
      <c r="P18" s="785"/>
      <c r="Q18" s="786"/>
      <c r="R18" s="786"/>
      <c r="S18" s="786"/>
      <c r="T18" s="786"/>
      <c r="U18" s="786"/>
      <c r="V18" s="786"/>
      <c r="W18" s="131" t="s">
        <v>48</v>
      </c>
      <c r="X18" s="23" t="s">
        <v>50</v>
      </c>
      <c r="Y18" s="531"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 customHeight="1" thickBot="1">
      <c r="A20" s="23"/>
      <c r="B20" s="774" t="s">
        <v>2231</v>
      </c>
      <c r="C20" s="795"/>
      <c r="D20" s="795"/>
      <c r="E20" s="795"/>
      <c r="F20" s="795"/>
      <c r="G20" s="795"/>
      <c r="H20" s="795"/>
      <c r="I20" s="795"/>
      <c r="J20" s="795"/>
      <c r="K20" s="795"/>
      <c r="L20" s="795"/>
      <c r="M20" s="795"/>
      <c r="N20" s="795"/>
      <c r="O20" s="795"/>
      <c r="P20" s="795"/>
      <c r="Q20" s="796"/>
      <c r="R20" s="796"/>
      <c r="S20" s="796"/>
      <c r="T20" s="796"/>
      <c r="U20" s="796"/>
      <c r="V20" s="796"/>
      <c r="W20" s="797"/>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 customHeight="1" thickBot="1">
      <c r="A21" s="23"/>
      <c r="B21" s="129" t="s">
        <v>2232</v>
      </c>
      <c r="C21" s="782" t="s">
        <v>2233</v>
      </c>
      <c r="D21" s="782"/>
      <c r="E21" s="782"/>
      <c r="F21" s="782"/>
      <c r="G21" s="782"/>
      <c r="H21" s="782"/>
      <c r="I21" s="782"/>
      <c r="J21" s="782"/>
      <c r="K21" s="782"/>
      <c r="L21" s="782"/>
      <c r="M21" s="782"/>
      <c r="N21" s="782"/>
      <c r="O21" s="782"/>
      <c r="P21" s="798"/>
      <c r="Q21" s="799">
        <f>Q17</f>
        <v>0</v>
      </c>
      <c r="R21" s="800"/>
      <c r="S21" s="800"/>
      <c r="T21" s="800"/>
      <c r="U21" s="800"/>
      <c r="V21" s="801"/>
      <c r="W21" s="127" t="s">
        <v>48</v>
      </c>
      <c r="X21" s="23" t="s">
        <v>50</v>
      </c>
      <c r="Y21" s="802" t="str">
        <f>IFERROR(IF(Q21&lt;=0,"",IF(Q22&gt;=Q21,"○","×")),"")</f>
        <v/>
      </c>
      <c r="Z21" s="23" t="s">
        <v>50</v>
      </c>
      <c r="AA21" s="804"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782" t="s">
        <v>2235</v>
      </c>
      <c r="D22" s="782"/>
      <c r="E22" s="782"/>
      <c r="F22" s="782"/>
      <c r="G22" s="782"/>
      <c r="H22" s="782"/>
      <c r="I22" s="782"/>
      <c r="J22" s="782"/>
      <c r="K22" s="782"/>
      <c r="L22" s="782"/>
      <c r="M22" s="782"/>
      <c r="N22" s="782"/>
      <c r="O22" s="782"/>
      <c r="P22" s="798"/>
      <c r="Q22" s="807"/>
      <c r="R22" s="808"/>
      <c r="S22" s="808"/>
      <c r="T22" s="808"/>
      <c r="U22" s="808"/>
      <c r="V22" s="809"/>
      <c r="W22" s="127" t="s">
        <v>48</v>
      </c>
      <c r="X22" s="23" t="s">
        <v>50</v>
      </c>
      <c r="Y22" s="803"/>
      <c r="Z22" s="23"/>
      <c r="AA22" s="805"/>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 customHeight="1" thickBot="1">
      <c r="A23" s="23"/>
      <c r="B23" s="129" t="s">
        <v>2236</v>
      </c>
      <c r="C23" s="782" t="s">
        <v>2237</v>
      </c>
      <c r="D23" s="782"/>
      <c r="E23" s="782"/>
      <c r="F23" s="782"/>
      <c r="G23" s="782"/>
      <c r="H23" s="782"/>
      <c r="I23" s="782"/>
      <c r="J23" s="782"/>
      <c r="K23" s="782"/>
      <c r="L23" s="782"/>
      <c r="M23" s="782"/>
      <c r="N23" s="782"/>
      <c r="O23" s="782"/>
      <c r="P23" s="798"/>
      <c r="Q23" s="807"/>
      <c r="R23" s="808"/>
      <c r="S23" s="808"/>
      <c r="T23" s="808"/>
      <c r="U23" s="808"/>
      <c r="V23" s="809"/>
      <c r="W23" s="127" t="s">
        <v>48</v>
      </c>
      <c r="X23" s="23"/>
      <c r="Y23" s="23"/>
      <c r="Z23" s="23"/>
      <c r="AA23" s="805"/>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 customHeight="1" thickBot="1">
      <c r="A24" s="23"/>
      <c r="B24" s="129" t="s">
        <v>2238</v>
      </c>
      <c r="C24" s="782" t="s">
        <v>2239</v>
      </c>
      <c r="D24" s="782"/>
      <c r="E24" s="782"/>
      <c r="F24" s="782"/>
      <c r="G24" s="782"/>
      <c r="H24" s="782"/>
      <c r="I24" s="782"/>
      <c r="J24" s="782"/>
      <c r="K24" s="782"/>
      <c r="L24" s="782"/>
      <c r="M24" s="782"/>
      <c r="N24" s="782"/>
      <c r="O24" s="782"/>
      <c r="P24" s="798"/>
      <c r="Q24" s="820">
        <f>Q22+Q23</f>
        <v>0</v>
      </c>
      <c r="R24" s="821"/>
      <c r="S24" s="821"/>
      <c r="T24" s="821"/>
      <c r="U24" s="821"/>
      <c r="V24" s="822"/>
      <c r="W24" s="127" t="s">
        <v>48</v>
      </c>
      <c r="X24" s="18"/>
      <c r="Y24" s="18"/>
      <c r="Z24" s="18" t="s">
        <v>50</v>
      </c>
      <c r="AA24" s="806"/>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6" t="s">
        <v>52</v>
      </c>
      <c r="C26" s="823" t="s">
        <v>2240</v>
      </c>
      <c r="D26" s="823"/>
      <c r="E26" s="823"/>
      <c r="F26" s="823"/>
      <c r="G26" s="823"/>
      <c r="H26" s="823"/>
      <c r="I26" s="823"/>
      <c r="J26" s="823"/>
      <c r="K26" s="823"/>
      <c r="L26" s="823"/>
      <c r="M26" s="823"/>
      <c r="N26" s="823"/>
      <c r="O26" s="823"/>
      <c r="P26" s="823"/>
      <c r="Q26" s="823"/>
      <c r="R26" s="823"/>
      <c r="S26" s="823"/>
      <c r="T26" s="823"/>
      <c r="U26" s="823"/>
      <c r="V26" s="823"/>
      <c r="W26" s="823"/>
      <c r="X26" s="823"/>
      <c r="Y26" s="823"/>
      <c r="Z26" s="823"/>
      <c r="AA26" s="823"/>
      <c r="AB26" s="823"/>
      <c r="AC26" s="823"/>
      <c r="AD26" s="823"/>
      <c r="AE26" s="823"/>
      <c r="AF26" s="823"/>
      <c r="AG26" s="823"/>
      <c r="AH26" s="823"/>
      <c r="AI26" s="823"/>
      <c r="AJ26" s="823"/>
      <c r="AK26" s="823"/>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824" t="s">
        <v>2229</v>
      </c>
      <c r="C28" s="824"/>
      <c r="D28" s="824"/>
      <c r="E28" s="824"/>
      <c r="F28" s="824"/>
      <c r="G28" s="824"/>
      <c r="H28" s="824"/>
      <c r="I28" s="824"/>
      <c r="J28" s="824"/>
      <c r="K28" s="824"/>
      <c r="L28" s="824"/>
      <c r="M28" s="824"/>
      <c r="N28" s="824"/>
      <c r="O28" s="824"/>
      <c r="P28" s="824"/>
      <c r="Q28" s="824"/>
      <c r="R28" s="824"/>
      <c r="S28" s="824"/>
      <c r="T28" s="824"/>
      <c r="U28" s="824"/>
      <c r="V28" s="824"/>
      <c r="W28" s="824"/>
      <c r="X28" s="824"/>
      <c r="Y28" s="824"/>
      <c r="Z28" s="824"/>
      <c r="AA28" s="824"/>
      <c r="AB28" s="824"/>
      <c r="AC28" s="824"/>
      <c r="AD28" s="824"/>
      <c r="AE28" s="824"/>
      <c r="AF28" s="824"/>
      <c r="AG28" s="824"/>
      <c r="AH28" s="824"/>
      <c r="AI28" s="824"/>
      <c r="AJ28" s="824"/>
      <c r="AK28" s="824"/>
      <c r="AL28" s="18"/>
      <c r="AM28" s="18"/>
      <c r="AN28" s="18"/>
      <c r="AO28" s="18"/>
      <c r="AP28" s="18"/>
      <c r="AQ28" s="18"/>
      <c r="AR28" s="18"/>
      <c r="AS28" s="18"/>
      <c r="AT28" s="18"/>
      <c r="AU28" s="18"/>
      <c r="AV28" s="18"/>
      <c r="AW28" s="18"/>
      <c r="AX28" s="18"/>
      <c r="AY28" s="18"/>
    </row>
    <row r="29" spans="1:51" ht="19.2" customHeight="1" thickBot="1">
      <c r="A29" s="18"/>
      <c r="B29" s="825" t="s">
        <v>53</v>
      </c>
      <c r="C29" s="825"/>
      <c r="D29" s="825"/>
      <c r="E29" s="825"/>
      <c r="F29" s="825"/>
      <c r="G29" s="825"/>
      <c r="H29" s="825"/>
      <c r="I29" s="825"/>
      <c r="J29" s="825"/>
      <c r="K29" s="825"/>
      <c r="L29" s="825"/>
      <c r="M29" s="825"/>
      <c r="N29" s="825"/>
      <c r="O29" s="825"/>
      <c r="P29" s="825"/>
      <c r="Q29" s="825"/>
      <c r="R29" s="825"/>
      <c r="S29" s="825"/>
      <c r="T29" s="825"/>
      <c r="U29" s="825"/>
      <c r="V29" s="825"/>
      <c r="W29" s="825"/>
      <c r="X29" s="825"/>
      <c r="Y29" s="825"/>
      <c r="Z29" s="825"/>
      <c r="AA29" s="825"/>
      <c r="AB29" s="825"/>
      <c r="AC29" s="825"/>
      <c r="AD29" s="825"/>
      <c r="AE29" s="825"/>
      <c r="AF29" s="825"/>
      <c r="AG29" s="825"/>
      <c r="AH29" s="825"/>
      <c r="AI29" s="825"/>
      <c r="AJ29" s="825"/>
      <c r="AK29" s="825"/>
      <c r="AL29" s="18"/>
      <c r="AM29" s="18"/>
      <c r="AN29" s="18"/>
      <c r="AO29" s="18"/>
      <c r="AP29" s="18"/>
      <c r="AQ29" s="18"/>
      <c r="AR29" s="18"/>
      <c r="AS29" s="138"/>
      <c r="AT29" s="18"/>
      <c r="AU29" s="18"/>
      <c r="AV29" s="18"/>
      <c r="AW29" s="18"/>
      <c r="AX29" s="18"/>
      <c r="AY29" s="18"/>
    </row>
    <row r="30" spans="1:51" ht="18" customHeight="1" thickBot="1">
      <c r="A30" s="18"/>
      <c r="B30" s="826" t="s">
        <v>54</v>
      </c>
      <c r="C30" s="826"/>
      <c r="D30" s="826"/>
      <c r="E30" s="826"/>
      <c r="F30" s="826"/>
      <c r="G30" s="826"/>
      <c r="H30" s="826"/>
      <c r="I30" s="826"/>
      <c r="J30" s="826"/>
      <c r="K30" s="826"/>
      <c r="L30" s="826"/>
      <c r="M30" s="826"/>
      <c r="N30" s="826"/>
      <c r="O30" s="826"/>
      <c r="P30" s="826"/>
      <c r="Q30" s="826"/>
      <c r="R30" s="826"/>
      <c r="S30" s="826"/>
      <c r="T30" s="826"/>
      <c r="U30" s="826"/>
      <c r="V30" s="826"/>
      <c r="W30" s="826"/>
      <c r="X30" s="826"/>
      <c r="Y30" s="826"/>
      <c r="Z30" s="826"/>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777" t="s">
        <v>55</v>
      </c>
      <c r="D31" s="777"/>
      <c r="E31" s="777"/>
      <c r="F31" s="777"/>
      <c r="G31" s="777"/>
      <c r="H31" s="777"/>
      <c r="I31" s="777"/>
      <c r="J31" s="777"/>
      <c r="K31" s="777"/>
      <c r="L31" s="777"/>
      <c r="M31" s="777"/>
      <c r="N31" s="777"/>
      <c r="O31" s="777"/>
      <c r="P31" s="777"/>
      <c r="Q31" s="777"/>
      <c r="R31" s="777"/>
      <c r="S31" s="777"/>
      <c r="T31" s="827">
        <f>SUM('別紙様式2-2（個票（４、５月））'!L6:N6,'別紙様式2-3（個票（６月以降））'!K7)</f>
        <v>0</v>
      </c>
      <c r="U31" s="827"/>
      <c r="V31" s="827"/>
      <c r="W31" s="827"/>
      <c r="X31" s="827"/>
      <c r="Y31" s="827"/>
      <c r="Z31" s="130" t="s">
        <v>48</v>
      </c>
      <c r="AA31" s="30" t="s">
        <v>50</v>
      </c>
      <c r="AB31" s="804" t="str">
        <f>IF(H6="", "", IFERROR(IF(T32&gt;=T31,"○","×"),""))</f>
        <v/>
      </c>
      <c r="AC31" s="143"/>
      <c r="AD31" s="144"/>
      <c r="AE31" s="144"/>
      <c r="AF31" s="144"/>
      <c r="AG31" s="144"/>
      <c r="AH31" s="144"/>
      <c r="AI31" s="144"/>
      <c r="AJ31" s="144"/>
      <c r="AK31" s="144"/>
      <c r="AL31" s="18"/>
      <c r="AM31" s="810" t="s">
        <v>56</v>
      </c>
      <c r="AN31" s="811"/>
      <c r="AO31" s="811"/>
      <c r="AP31" s="811"/>
      <c r="AQ31" s="811"/>
      <c r="AR31" s="811"/>
      <c r="AS31" s="811"/>
      <c r="AT31" s="811"/>
      <c r="AU31" s="811"/>
      <c r="AV31" s="811"/>
      <c r="AW31" s="811"/>
      <c r="AX31" s="811"/>
      <c r="AY31" s="812"/>
    </row>
    <row r="32" spans="1:51" ht="28.5" customHeight="1" thickBot="1">
      <c r="A32" s="18"/>
      <c r="B32" s="142" t="s">
        <v>49</v>
      </c>
      <c r="C32" s="782" t="s">
        <v>57</v>
      </c>
      <c r="D32" s="782"/>
      <c r="E32" s="782"/>
      <c r="F32" s="782"/>
      <c r="G32" s="782"/>
      <c r="H32" s="782"/>
      <c r="I32" s="782"/>
      <c r="J32" s="782"/>
      <c r="K32" s="782"/>
      <c r="L32" s="782"/>
      <c r="M32" s="782"/>
      <c r="N32" s="782"/>
      <c r="O32" s="782"/>
      <c r="P32" s="782"/>
      <c r="Q32" s="782"/>
      <c r="R32" s="782"/>
      <c r="S32" s="782"/>
      <c r="T32" s="816"/>
      <c r="U32" s="816"/>
      <c r="V32" s="816"/>
      <c r="W32" s="816"/>
      <c r="X32" s="816"/>
      <c r="Y32" s="817"/>
      <c r="Z32" s="128" t="s">
        <v>48</v>
      </c>
      <c r="AA32" s="30" t="s">
        <v>50</v>
      </c>
      <c r="AB32" s="828"/>
      <c r="AC32" s="143"/>
      <c r="AD32" s="144"/>
      <c r="AE32" s="144"/>
      <c r="AF32" s="144"/>
      <c r="AG32" s="144"/>
      <c r="AH32" s="144"/>
      <c r="AI32" s="144"/>
      <c r="AJ32" s="144"/>
      <c r="AK32" s="144"/>
      <c r="AL32" s="18"/>
      <c r="AM32" s="813"/>
      <c r="AN32" s="814"/>
      <c r="AO32" s="814"/>
      <c r="AP32" s="814"/>
      <c r="AQ32" s="814"/>
      <c r="AR32" s="814"/>
      <c r="AS32" s="814"/>
      <c r="AT32" s="814"/>
      <c r="AU32" s="814"/>
      <c r="AV32" s="814"/>
      <c r="AW32" s="814"/>
      <c r="AX32" s="814"/>
      <c r="AY32" s="815"/>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8"/>
      <c r="AM34" s="147"/>
      <c r="AN34" s="147"/>
      <c r="AO34" s="147"/>
      <c r="AP34" s="147"/>
      <c r="AQ34" s="18"/>
      <c r="AR34" s="18"/>
      <c r="AS34" s="18"/>
      <c r="AT34" s="18"/>
      <c r="AU34" s="18"/>
      <c r="AV34" s="18"/>
      <c r="AW34" s="18"/>
      <c r="AX34" s="138"/>
      <c r="AY34" s="18"/>
    </row>
    <row r="35" spans="1:60" ht="13.95" customHeight="1">
      <c r="A35" s="18"/>
      <c r="B35" s="136" t="s">
        <v>52</v>
      </c>
      <c r="C35" s="818" t="s">
        <v>58</v>
      </c>
      <c r="D35" s="818"/>
      <c r="E35" s="818"/>
      <c r="F35" s="818"/>
      <c r="G35" s="818"/>
      <c r="H35" s="818"/>
      <c r="I35" s="818"/>
      <c r="J35" s="818"/>
      <c r="K35" s="818"/>
      <c r="L35" s="818"/>
      <c r="M35" s="818"/>
      <c r="N35" s="818"/>
      <c r="O35" s="818"/>
      <c r="P35" s="818"/>
      <c r="Q35" s="818"/>
      <c r="R35" s="818"/>
      <c r="S35" s="818"/>
      <c r="T35" s="818"/>
      <c r="U35" s="818"/>
      <c r="V35" s="818"/>
      <c r="W35" s="818"/>
      <c r="X35" s="818"/>
      <c r="Y35" s="818"/>
      <c r="Z35" s="818"/>
      <c r="AA35" s="818"/>
      <c r="AB35" s="818"/>
      <c r="AC35" s="818"/>
      <c r="AD35" s="818"/>
      <c r="AE35" s="818"/>
      <c r="AF35" s="818"/>
      <c r="AG35" s="818"/>
      <c r="AH35" s="818"/>
      <c r="AI35" s="818"/>
      <c r="AJ35" s="818"/>
      <c r="AK35" s="818"/>
      <c r="AL35" s="538"/>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4" customHeight="1" thickBot="1">
      <c r="A37" s="58"/>
      <c r="B37" s="750" t="s">
        <v>59</v>
      </c>
      <c r="C37" s="750"/>
      <c r="D37" s="750"/>
      <c r="E37" s="750"/>
      <c r="F37" s="750"/>
      <c r="G37" s="750"/>
      <c r="H37" s="750"/>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750"/>
      <c r="AK37" s="750"/>
      <c r="AL37" s="58"/>
      <c r="AM37" s="536"/>
      <c r="AN37" s="536"/>
      <c r="AO37" s="536"/>
      <c r="AP37" s="536"/>
      <c r="AQ37" s="536"/>
      <c r="AR37" s="536"/>
      <c r="AS37" s="536"/>
      <c r="AT37" s="536"/>
      <c r="AU37" s="536"/>
      <c r="AV37" s="536"/>
      <c r="AW37" s="536"/>
      <c r="AX37" s="536"/>
      <c r="AY37" s="536"/>
      <c r="BA37" s="819" t="s">
        <v>60</v>
      </c>
      <c r="BB37" s="819"/>
      <c r="BC37" s="819"/>
      <c r="BD37" s="819"/>
      <c r="BE37" s="819" t="s">
        <v>2203</v>
      </c>
      <c r="BF37" s="819"/>
      <c r="BG37" s="819"/>
      <c r="BH37" s="819"/>
    </row>
    <row r="38" spans="1:60" s="13" customFormat="1" ht="18" customHeight="1" thickBot="1">
      <c r="A38" s="19"/>
      <c r="B38" s="826" t="s">
        <v>2198</v>
      </c>
      <c r="C38" s="826"/>
      <c r="D38" s="826"/>
      <c r="E38" s="826"/>
      <c r="F38" s="826"/>
      <c r="G38" s="826"/>
      <c r="H38" s="826"/>
      <c r="I38" s="826"/>
      <c r="J38" s="826"/>
      <c r="K38" s="826"/>
      <c r="L38" s="826"/>
      <c r="M38" s="826"/>
      <c r="N38" s="826"/>
      <c r="O38" s="826"/>
      <c r="P38" s="826"/>
      <c r="Q38" s="826"/>
      <c r="R38" s="826"/>
      <c r="S38" s="826"/>
      <c r="T38" s="826"/>
      <c r="U38" s="826"/>
      <c r="V38" s="826"/>
      <c r="W38" s="826"/>
      <c r="X38" s="826"/>
      <c r="Y38" s="826"/>
      <c r="Z38" s="826"/>
      <c r="AA38" s="826"/>
      <c r="AB38" s="826"/>
      <c r="AC38" s="826"/>
      <c r="AD38" s="826"/>
      <c r="AE38" s="826"/>
      <c r="AF38" s="826"/>
      <c r="AG38" s="826"/>
      <c r="AH38" s="826"/>
      <c r="AI38" s="826"/>
      <c r="AJ38" s="826"/>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36"/>
      <c r="AN38" s="536"/>
      <c r="AO38" s="536"/>
      <c r="AP38" s="536"/>
      <c r="AQ38" s="536"/>
      <c r="AR38" s="536"/>
      <c r="AS38" s="536"/>
      <c r="AT38" s="536"/>
      <c r="AU38" s="536"/>
      <c r="AV38" s="536"/>
      <c r="AW38" s="536"/>
      <c r="AX38" s="536"/>
      <c r="AY38" s="536"/>
      <c r="BA38" s="831">
        <f>COUNTIF('別紙様式2-2（個票（４、５月））'!O:O,"処遇改善加算Ⅰ")+COUNTIF('別紙様式2-2（個票（４、５月））'!O:O,"処遇改善加算Ⅱ")+COUNTIF('別紙様式2-2（個票（４、５月））'!O:O,"処遇改善加算Ⅲ")+COUNTIF('別紙様式2-2（個票（４、５月））'!O:O,"処遇改善加算Ⅳ")</f>
        <v>0</v>
      </c>
      <c r="BB38" s="831"/>
      <c r="BC38" s="831"/>
      <c r="BD38" s="831"/>
      <c r="BE38" s="832">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832"/>
      <c r="BG38" s="832"/>
      <c r="BH38" s="832"/>
    </row>
    <row r="39" spans="1:60" s="13" customFormat="1" ht="33" customHeight="1" thickBot="1">
      <c r="A39" s="19"/>
      <c r="B39" s="781" t="s">
        <v>61</v>
      </c>
      <c r="C39" s="826"/>
      <c r="D39" s="826"/>
      <c r="E39" s="826"/>
      <c r="F39" s="826"/>
      <c r="G39" s="826"/>
      <c r="H39" s="826"/>
      <c r="I39" s="826"/>
      <c r="J39" s="826"/>
      <c r="K39" s="826"/>
      <c r="L39" s="826"/>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584"/>
      <c r="AL39" s="19"/>
      <c r="AM39" s="536"/>
      <c r="AN39" s="536"/>
      <c r="AO39" s="536"/>
      <c r="AP39" s="536"/>
      <c r="AQ39" s="536"/>
      <c r="AR39" s="536"/>
      <c r="AS39" s="536"/>
      <c r="AT39" s="536"/>
      <c r="AU39" s="536"/>
      <c r="AV39" s="536"/>
      <c r="AW39" s="536"/>
      <c r="AX39" s="536"/>
      <c r="AY39" s="536"/>
      <c r="BA39" s="381"/>
      <c r="BB39" s="381"/>
      <c r="BC39" s="381"/>
      <c r="BD39" s="381"/>
      <c r="BE39" s="382"/>
      <c r="BF39" s="382"/>
      <c r="BG39" s="382"/>
      <c r="BH39" s="382"/>
    </row>
    <row r="40" spans="1:60" s="13" customFormat="1" ht="6" customHeight="1">
      <c r="A40" s="19"/>
      <c r="B40" s="833"/>
      <c r="C40" s="833"/>
      <c r="D40" s="833"/>
      <c r="E40" s="833"/>
      <c r="F40" s="833"/>
      <c r="G40" s="833"/>
      <c r="H40" s="833"/>
      <c r="I40" s="833"/>
      <c r="J40" s="833"/>
      <c r="K40" s="833"/>
      <c r="L40" s="833"/>
      <c r="M40" s="833"/>
      <c r="N40" s="833"/>
      <c r="O40" s="833"/>
      <c r="P40" s="833"/>
      <c r="Q40" s="833"/>
      <c r="R40" s="833"/>
      <c r="S40" s="833"/>
      <c r="T40" s="833"/>
      <c r="U40" s="833"/>
      <c r="V40" s="833"/>
      <c r="W40" s="833"/>
      <c r="X40" s="833"/>
      <c r="Y40" s="833"/>
      <c r="Z40" s="833"/>
      <c r="AA40" s="833"/>
      <c r="AB40" s="833"/>
      <c r="AC40" s="833"/>
      <c r="AD40" s="833"/>
      <c r="AE40" s="833"/>
      <c r="AF40" s="833"/>
      <c r="AG40" s="833"/>
      <c r="AH40" s="833"/>
      <c r="AI40" s="833"/>
      <c r="AJ40" s="833"/>
      <c r="AK40" s="833"/>
      <c r="AL40" s="19"/>
      <c r="AM40" s="369"/>
      <c r="AN40" s="369"/>
      <c r="AO40" s="369"/>
      <c r="AP40" s="369"/>
      <c r="AQ40" s="369"/>
      <c r="AR40" s="369"/>
      <c r="AS40" s="369"/>
      <c r="AT40" s="369"/>
      <c r="AU40" s="369"/>
      <c r="AV40" s="369"/>
      <c r="AW40" s="369"/>
      <c r="AX40" s="369"/>
      <c r="AY40" s="369"/>
      <c r="BA40" s="28" t="s">
        <v>2196</v>
      </c>
      <c r="BB40" s="28"/>
      <c r="BC40" s="28"/>
      <c r="BD40" s="28"/>
      <c r="BE40" s="28" t="s">
        <v>2197</v>
      </c>
      <c r="BF40" s="28"/>
      <c r="BG40" s="28"/>
      <c r="BH40" s="28"/>
    </row>
    <row r="41" spans="1:60" s="13" customFormat="1" ht="19.95" customHeight="1" thickBot="1">
      <c r="A41" s="19"/>
      <c r="B41" s="750" t="s">
        <v>62</v>
      </c>
      <c r="C41" s="829"/>
      <c r="D41" s="829"/>
      <c r="E41" s="829"/>
      <c r="F41" s="829"/>
      <c r="G41" s="829"/>
      <c r="H41" s="829"/>
      <c r="I41" s="829"/>
      <c r="J41" s="829"/>
      <c r="K41" s="829"/>
      <c r="L41" s="829"/>
      <c r="M41" s="829"/>
      <c r="N41" s="829"/>
      <c r="O41" s="829"/>
      <c r="P41" s="829"/>
      <c r="Q41" s="829"/>
      <c r="R41" s="829"/>
      <c r="S41" s="829"/>
      <c r="T41" s="829"/>
      <c r="U41" s="829"/>
      <c r="V41" s="829"/>
      <c r="W41" s="829"/>
      <c r="X41" s="829"/>
      <c r="Y41" s="829"/>
      <c r="Z41" s="829"/>
      <c r="AA41" s="829"/>
      <c r="AB41" s="829"/>
      <c r="AC41" s="829"/>
      <c r="AD41" s="829"/>
      <c r="AE41" s="829"/>
      <c r="AF41" s="829"/>
      <c r="AG41" s="829"/>
      <c r="AH41" s="829"/>
      <c r="AI41" s="829"/>
      <c r="AJ41" s="829"/>
      <c r="AK41" s="829"/>
      <c r="AL41" s="19"/>
      <c r="AM41" s="536"/>
      <c r="AN41" s="536"/>
      <c r="AO41" s="536"/>
      <c r="AP41" s="536"/>
      <c r="AQ41" s="536"/>
      <c r="AR41" s="536"/>
      <c r="AS41" s="536"/>
      <c r="AT41" s="536"/>
      <c r="AU41" s="536"/>
      <c r="AV41" s="536"/>
      <c r="AW41" s="536"/>
      <c r="AX41" s="536"/>
      <c r="AY41" s="536"/>
      <c r="BA41" s="830" t="s">
        <v>63</v>
      </c>
      <c r="BB41" s="830"/>
      <c r="BC41" s="830"/>
      <c r="BD41" s="830"/>
      <c r="BE41" s="830" t="s">
        <v>63</v>
      </c>
      <c r="BF41" s="830"/>
      <c r="BG41" s="830"/>
      <c r="BH41" s="830"/>
    </row>
    <row r="42" spans="1:60" s="13" customFormat="1" ht="18" customHeight="1" thickBot="1">
      <c r="A42" s="19"/>
      <c r="B42" s="781" t="s">
        <v>2202</v>
      </c>
      <c r="C42" s="781"/>
      <c r="D42" s="781"/>
      <c r="E42" s="781"/>
      <c r="F42" s="781"/>
      <c r="G42" s="781"/>
      <c r="H42" s="781"/>
      <c r="I42" s="781"/>
      <c r="J42" s="781"/>
      <c r="K42" s="781"/>
      <c r="L42" s="781"/>
      <c r="M42" s="781"/>
      <c r="N42" s="781"/>
      <c r="O42" s="781"/>
      <c r="P42" s="781"/>
      <c r="Q42" s="781"/>
      <c r="R42" s="781"/>
      <c r="S42" s="781"/>
      <c r="T42" s="781"/>
      <c r="U42" s="781"/>
      <c r="V42" s="781"/>
      <c r="W42" s="781"/>
      <c r="X42" s="781"/>
      <c r="Y42" s="781"/>
      <c r="Z42" s="781"/>
      <c r="AA42" s="781"/>
      <c r="AB42" s="781"/>
      <c r="AC42" s="781"/>
      <c r="AD42" s="781"/>
      <c r="AE42" s="781"/>
      <c r="AF42" s="781"/>
      <c r="AG42" s="781"/>
      <c r="AH42" s="781"/>
      <c r="AI42" s="781"/>
      <c r="AJ42" s="781"/>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36"/>
      <c r="AN42" s="536"/>
      <c r="AO42" s="536"/>
      <c r="AP42" s="536"/>
      <c r="AQ42" s="536"/>
      <c r="AR42" s="536"/>
      <c r="AS42" s="536"/>
      <c r="AT42" s="536"/>
      <c r="AU42" s="536"/>
      <c r="AV42" s="536"/>
      <c r="AW42" s="536"/>
      <c r="AX42" s="536"/>
      <c r="AY42" s="536"/>
      <c r="BA42" s="831">
        <f>COUNTIF('別紙様式2-2（個票（４、５月））'!O13:O113,"処遇改善加算Ⅰ")+COUNTIF('別紙様式2-2（個票（４、５月））'!O13:O113,"処遇改善加算Ⅱ")+COUNTIF('別紙様式2-2（個票（４、５月））'!O13:O113,"処遇改善加算Ⅲ")</f>
        <v>0</v>
      </c>
      <c r="BB42" s="831"/>
      <c r="BC42" s="831"/>
      <c r="BD42" s="831"/>
      <c r="BE42" s="832">
        <f>COUNTIF('別紙様式2-3（個票（６月以降））'!O:O,"*処遇改善加算Ⅰ*")+COUNTIF('別紙様式2-3（個票（６月以降））'!O:O,"*処遇改善加算Ⅱ*")+COUNTIF('別紙様式2-3（個票（６月以降））'!O:O,"処遇改善加算Ⅲ")</f>
        <v>0</v>
      </c>
      <c r="BF42" s="832"/>
      <c r="BG42" s="832"/>
      <c r="BH42" s="832"/>
    </row>
    <row r="43" spans="1:60" s="13" customFormat="1" ht="30.6" customHeight="1" thickBot="1">
      <c r="A43" s="19"/>
      <c r="B43" s="781" t="s">
        <v>64</v>
      </c>
      <c r="C43" s="826"/>
      <c r="D43" s="826"/>
      <c r="E43" s="826"/>
      <c r="F43" s="826"/>
      <c r="G43" s="826"/>
      <c r="H43" s="826"/>
      <c r="I43" s="826"/>
      <c r="J43" s="826"/>
      <c r="K43" s="826"/>
      <c r="L43" s="826"/>
      <c r="M43" s="826"/>
      <c r="N43" s="826"/>
      <c r="O43" s="826"/>
      <c r="P43" s="826"/>
      <c r="Q43" s="826"/>
      <c r="R43" s="826"/>
      <c r="S43" s="826"/>
      <c r="T43" s="826"/>
      <c r="U43" s="826"/>
      <c r="V43" s="826"/>
      <c r="W43" s="826"/>
      <c r="X43" s="826"/>
      <c r="Y43" s="826"/>
      <c r="Z43" s="826"/>
      <c r="AA43" s="826"/>
      <c r="AB43" s="826"/>
      <c r="AC43" s="826"/>
      <c r="AD43" s="826"/>
      <c r="AE43" s="826"/>
      <c r="AF43" s="826"/>
      <c r="AG43" s="826"/>
      <c r="AH43" s="826"/>
      <c r="AI43" s="826"/>
      <c r="AJ43" s="826"/>
      <c r="AK43" s="584"/>
      <c r="AL43" s="19"/>
      <c r="AM43" s="536"/>
      <c r="AN43" s="536"/>
      <c r="AO43" s="536"/>
      <c r="AP43" s="536"/>
      <c r="AQ43" s="536"/>
      <c r="AR43" s="536"/>
      <c r="AS43" s="536"/>
      <c r="AT43" s="536"/>
      <c r="AU43" s="536"/>
      <c r="AV43" s="536"/>
      <c r="AW43" s="536"/>
      <c r="AX43" s="536"/>
      <c r="AY43" s="536"/>
      <c r="BA43" s="381"/>
      <c r="BB43" s="381"/>
      <c r="BC43" s="381"/>
      <c r="BD43" s="381"/>
      <c r="BE43" s="382"/>
      <c r="BF43" s="382"/>
      <c r="BG43" s="382"/>
      <c r="BH43" s="382"/>
    </row>
    <row r="44" spans="1:60" s="13" customFormat="1" ht="6" customHeight="1">
      <c r="A44" s="19"/>
      <c r="B44" s="538"/>
      <c r="C44" s="538"/>
      <c r="D44" s="538"/>
      <c r="E44" s="538"/>
      <c r="F44" s="538"/>
      <c r="G44" s="538"/>
      <c r="H44" s="538"/>
      <c r="I44" s="538"/>
      <c r="J44" s="538"/>
      <c r="K44" s="538"/>
      <c r="L44" s="538"/>
      <c r="M44" s="538"/>
      <c r="N44" s="538"/>
      <c r="O44" s="538"/>
      <c r="P44" s="538"/>
      <c r="Q44" s="538"/>
      <c r="R44" s="538"/>
      <c r="S44" s="538"/>
      <c r="T44" s="538"/>
      <c r="U44" s="538"/>
      <c r="V44" s="538"/>
      <c r="W44" s="538"/>
      <c r="X44" s="538"/>
      <c r="Y44" s="538"/>
      <c r="Z44" s="538"/>
      <c r="AA44" s="538"/>
      <c r="AB44" s="538"/>
      <c r="AC44" s="538"/>
      <c r="AD44" s="538"/>
      <c r="AE44" s="538"/>
      <c r="AF44" s="538"/>
      <c r="AG44" s="538"/>
      <c r="AH44" s="538"/>
      <c r="AI44" s="538"/>
      <c r="AJ44" s="538"/>
      <c r="AK44" s="538"/>
      <c r="AL44" s="19"/>
      <c r="AM44" s="370"/>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4" customHeight="1" thickBot="1">
      <c r="A45" s="19"/>
      <c r="B45" s="834" t="s">
        <v>65</v>
      </c>
      <c r="C45" s="835"/>
      <c r="D45" s="835"/>
      <c r="E45" s="835"/>
      <c r="F45" s="835"/>
      <c r="G45" s="835"/>
      <c r="H45" s="835"/>
      <c r="I45" s="835"/>
      <c r="J45" s="835"/>
      <c r="K45" s="835"/>
      <c r="L45" s="835"/>
      <c r="M45" s="835"/>
      <c r="N45" s="835"/>
      <c r="O45" s="835"/>
      <c r="P45" s="835"/>
      <c r="Q45" s="835"/>
      <c r="R45" s="835"/>
      <c r="S45" s="835"/>
      <c r="T45" s="835"/>
      <c r="U45" s="835"/>
      <c r="V45" s="835"/>
      <c r="W45" s="835"/>
      <c r="X45" s="835"/>
      <c r="Y45" s="835"/>
      <c r="Z45" s="835"/>
      <c r="AA45" s="835"/>
      <c r="AB45" s="835"/>
      <c r="AC45" s="835"/>
      <c r="AD45" s="835"/>
      <c r="AE45" s="835"/>
      <c r="AF45" s="835"/>
      <c r="AG45" s="835"/>
      <c r="AH45" s="835"/>
      <c r="AI45" s="835"/>
      <c r="AJ45" s="835"/>
      <c r="AK45" s="835"/>
      <c r="AL45" s="19"/>
      <c r="AM45" s="19"/>
      <c r="AN45" s="19"/>
      <c r="AO45" s="19"/>
      <c r="AP45" s="19"/>
      <c r="AQ45" s="19"/>
      <c r="AR45" s="19"/>
      <c r="AS45" s="19"/>
      <c r="AT45" s="19"/>
      <c r="AU45" s="19"/>
      <c r="AV45" s="19"/>
      <c r="AW45" s="19"/>
      <c r="AX45" s="19"/>
      <c r="AY45" s="19"/>
      <c r="BA45" s="831" t="s">
        <v>66</v>
      </c>
      <c r="BB45" s="831"/>
      <c r="BC45" s="831"/>
      <c r="BD45" s="831"/>
      <c r="BE45" s="831" t="s">
        <v>66</v>
      </c>
      <c r="BF45" s="831"/>
      <c r="BG45" s="831"/>
      <c r="BH45" s="831"/>
    </row>
    <row r="46" spans="1:60" ht="18" customHeight="1" thickBot="1">
      <c r="A46" s="18"/>
      <c r="B46" s="839" t="s">
        <v>2199</v>
      </c>
      <c r="C46" s="839"/>
      <c r="D46" s="839"/>
      <c r="E46" s="839"/>
      <c r="F46" s="839"/>
      <c r="G46" s="839"/>
      <c r="H46" s="839"/>
      <c r="I46" s="839"/>
      <c r="J46" s="839"/>
      <c r="K46" s="839"/>
      <c r="L46" s="839"/>
      <c r="M46" s="839"/>
      <c r="N46" s="839"/>
      <c r="O46" s="839"/>
      <c r="P46" s="839"/>
      <c r="Q46" s="839"/>
      <c r="R46" s="839"/>
      <c r="S46" s="839"/>
      <c r="T46" s="839"/>
      <c r="U46" s="839"/>
      <c r="V46" s="839"/>
      <c r="W46" s="839"/>
      <c r="X46" s="839"/>
      <c r="Y46" s="839"/>
      <c r="Z46" s="839"/>
      <c r="AA46" s="839"/>
      <c r="AB46" s="839"/>
      <c r="AC46" s="839"/>
      <c r="AD46" s="839"/>
      <c r="AE46" s="839"/>
      <c r="AF46" s="839"/>
      <c r="AG46" s="839"/>
      <c r="AH46" s="839"/>
      <c r="AI46" s="839"/>
      <c r="AJ46" s="839"/>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819">
        <f>COUNTIF('別紙様式2-2（個票（４、５月））'!O13:O113,"処遇改善加算Ⅰ")+COUNTIF('別紙様式2-2（個票（４、５月））'!O13:O113,"処遇改善加算Ⅱ")</f>
        <v>0</v>
      </c>
      <c r="BB46" s="819"/>
      <c r="BC46" s="819"/>
      <c r="BD46" s="819"/>
      <c r="BE46" s="840">
        <f>COUNTIF('別紙様式2-3（個票（６月以降））'!O:O,"*処遇改善加算Ⅰ*")+COUNTIF('別紙様式2-3（個票（６月以降））'!O:O,"*処遇改善加算Ⅱ*")</f>
        <v>0</v>
      </c>
      <c r="BF46" s="840"/>
      <c r="BG46" s="840"/>
      <c r="BH46" s="840"/>
    </row>
    <row r="47" spans="1:60" ht="30.6" customHeight="1" thickBot="1">
      <c r="A47" s="18"/>
      <c r="B47" s="781" t="s">
        <v>2492</v>
      </c>
      <c r="C47" s="826"/>
      <c r="D47" s="826"/>
      <c r="E47" s="826"/>
      <c r="F47" s="826"/>
      <c r="G47" s="826"/>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826"/>
      <c r="AK47" s="584"/>
      <c r="AL47" s="18"/>
      <c r="AM47" s="18"/>
      <c r="AN47" s="18"/>
      <c r="AO47" s="18"/>
      <c r="AP47" s="18"/>
      <c r="AQ47" s="18"/>
      <c r="AR47" s="18"/>
      <c r="AS47" s="18"/>
      <c r="AT47" s="18"/>
      <c r="AU47" s="18"/>
      <c r="AV47" s="18"/>
      <c r="AW47" s="18"/>
      <c r="AX47" s="138"/>
      <c r="AY47" s="18"/>
      <c r="BA47" s="374"/>
      <c r="BB47" s="374"/>
      <c r="BC47" s="374"/>
      <c r="BD47" s="374"/>
    </row>
    <row r="48" spans="1:60" ht="6" customHeight="1">
      <c r="A48" s="18"/>
      <c r="B48" s="151"/>
      <c r="C48" s="18"/>
      <c r="D48" s="530"/>
      <c r="E48" s="530"/>
      <c r="F48" s="530"/>
      <c r="G48" s="530"/>
      <c r="H48" s="530"/>
      <c r="I48" s="530"/>
      <c r="J48" s="530"/>
      <c r="K48" s="530"/>
      <c r="L48" s="530"/>
      <c r="M48" s="530"/>
      <c r="N48" s="530"/>
      <c r="O48" s="530"/>
      <c r="P48" s="530"/>
      <c r="Q48" s="530"/>
      <c r="R48" s="530"/>
      <c r="S48" s="530"/>
      <c r="T48" s="530"/>
      <c r="U48" s="530"/>
      <c r="V48" s="530"/>
      <c r="W48" s="530"/>
      <c r="X48" s="530"/>
      <c r="Y48" s="530"/>
      <c r="Z48" s="530"/>
      <c r="AA48" s="530"/>
      <c r="AB48" s="530"/>
      <c r="AC48" s="530"/>
      <c r="AD48" s="530"/>
      <c r="AE48" s="530"/>
      <c r="AF48" s="530"/>
      <c r="AG48" s="530"/>
      <c r="AH48" s="530"/>
      <c r="AI48" s="530"/>
      <c r="AJ48" s="530"/>
      <c r="AK48" s="18"/>
      <c r="AL48" s="18"/>
      <c r="AM48" s="18"/>
      <c r="AN48" s="18"/>
      <c r="AO48" s="18"/>
      <c r="AP48" s="18"/>
      <c r="AQ48" s="18"/>
      <c r="AR48" s="18"/>
      <c r="AS48" s="18"/>
      <c r="AT48" s="18"/>
      <c r="AU48" s="18"/>
      <c r="AV48" s="18"/>
      <c r="AW48" s="138"/>
      <c r="AX48" s="18"/>
      <c r="AY48" s="18"/>
      <c r="BA48" s="150"/>
      <c r="BB48" s="150"/>
      <c r="BC48" s="150"/>
    </row>
    <row r="49" spans="1:60" s="13" customFormat="1" ht="4.95" customHeight="1">
      <c r="A49" s="18"/>
      <c r="B49" s="524"/>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 customHeight="1" thickBot="1">
      <c r="A50" s="18"/>
      <c r="B50" s="834" t="s">
        <v>2241</v>
      </c>
      <c r="C50" s="835"/>
      <c r="D50" s="835"/>
      <c r="E50" s="835"/>
      <c r="F50" s="835"/>
      <c r="G50" s="835"/>
      <c r="H50" s="835"/>
      <c r="I50" s="835"/>
      <c r="J50" s="835"/>
      <c r="K50" s="835"/>
      <c r="L50" s="835"/>
      <c r="M50" s="835"/>
      <c r="N50" s="835"/>
      <c r="O50" s="835"/>
      <c r="P50" s="835"/>
      <c r="Q50" s="835"/>
      <c r="R50" s="835"/>
      <c r="S50" s="835"/>
      <c r="T50" s="835"/>
      <c r="U50" s="835"/>
      <c r="V50" s="835"/>
      <c r="W50" s="835"/>
      <c r="X50" s="835"/>
      <c r="Y50" s="835"/>
      <c r="Z50" s="835"/>
      <c r="AA50" s="835"/>
      <c r="AB50" s="835"/>
      <c r="AC50" s="835"/>
      <c r="AD50" s="835"/>
      <c r="AE50" s="835"/>
      <c r="AF50" s="835"/>
      <c r="AG50" s="835"/>
      <c r="AH50" s="835"/>
      <c r="AI50" s="835"/>
      <c r="AJ50" s="835"/>
      <c r="AK50" s="835"/>
      <c r="AL50" s="18"/>
      <c r="AM50" s="18"/>
      <c r="AN50" s="18"/>
      <c r="AO50" s="18"/>
      <c r="AP50" s="18"/>
      <c r="AQ50" s="18"/>
      <c r="AR50" s="18"/>
      <c r="AS50" s="18"/>
      <c r="AT50" s="18"/>
      <c r="AU50" s="18"/>
      <c r="AV50" s="18"/>
      <c r="AW50" s="18"/>
      <c r="AX50" s="18"/>
      <c r="AY50" s="18"/>
      <c r="AZ50" s="13"/>
      <c r="BA50" s="836" t="s">
        <v>67</v>
      </c>
      <c r="BB50" s="836"/>
      <c r="BC50" s="836"/>
      <c r="BD50" s="836"/>
      <c r="BE50" s="836" t="s">
        <v>67</v>
      </c>
      <c r="BF50" s="836"/>
      <c r="BG50" s="836"/>
      <c r="BH50" s="836"/>
    </row>
    <row r="51" spans="1:60" ht="18" customHeight="1" thickBot="1">
      <c r="A51" s="18"/>
      <c r="B51" s="837" t="s">
        <v>2200</v>
      </c>
      <c r="C51" s="837"/>
      <c r="D51" s="837"/>
      <c r="E51" s="837"/>
      <c r="F51" s="837"/>
      <c r="G51" s="837"/>
      <c r="H51" s="837"/>
      <c r="I51" s="837"/>
      <c r="J51" s="837"/>
      <c r="K51" s="837"/>
      <c r="L51" s="837"/>
      <c r="M51" s="837"/>
      <c r="N51" s="837"/>
      <c r="O51" s="837"/>
      <c r="P51" s="837"/>
      <c r="Q51" s="837"/>
      <c r="R51" s="837"/>
      <c r="S51" s="837"/>
      <c r="T51" s="837"/>
      <c r="U51" s="837"/>
      <c r="V51" s="837"/>
      <c r="W51" s="837"/>
      <c r="X51" s="837"/>
      <c r="Y51" s="837"/>
      <c r="Z51" s="837"/>
      <c r="AA51" s="837"/>
      <c r="AB51" s="837"/>
      <c r="AC51" s="837"/>
      <c r="AD51" s="837"/>
      <c r="AE51" s="837"/>
      <c r="AF51" s="837"/>
      <c r="AG51" s="837"/>
      <c r="AH51" s="837"/>
      <c r="AI51" s="837"/>
      <c r="AJ51" s="837"/>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838">
        <f>COUNTIF('別紙様式2-2（個票（４、５月））'!O13:O113,"処遇改善加算Ⅰ")</f>
        <v>0</v>
      </c>
      <c r="BB51" s="838"/>
      <c r="BC51" s="838"/>
      <c r="BD51" s="838"/>
      <c r="BE51" s="838">
        <f>COUNTIF('別紙様式2-3（個票（６月以降））'!O13:O113,"*処遇改善加算Ⅰ*")</f>
        <v>0</v>
      </c>
      <c r="BF51" s="838"/>
      <c r="BG51" s="838"/>
      <c r="BH51" s="838"/>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 customHeight="1" thickBot="1">
      <c r="A53" s="58"/>
      <c r="B53" s="855" t="s">
        <v>68</v>
      </c>
      <c r="C53" s="856"/>
      <c r="D53" s="856"/>
      <c r="E53" s="856"/>
      <c r="F53" s="856"/>
      <c r="G53" s="856"/>
      <c r="H53" s="856"/>
      <c r="I53" s="856"/>
      <c r="J53" s="856"/>
      <c r="K53" s="856"/>
      <c r="L53" s="856"/>
      <c r="M53" s="856"/>
      <c r="N53" s="856"/>
      <c r="O53" s="856"/>
      <c r="P53" s="856"/>
      <c r="Q53" s="856"/>
      <c r="R53" s="856"/>
      <c r="S53" s="856"/>
      <c r="T53" s="856"/>
      <c r="U53" s="856"/>
      <c r="V53" s="856"/>
      <c r="W53" s="856"/>
      <c r="X53" s="856"/>
      <c r="Y53" s="856"/>
      <c r="Z53" s="856"/>
      <c r="AA53" s="856"/>
      <c r="AB53" s="856"/>
      <c r="AC53" s="856"/>
      <c r="AD53" s="856"/>
      <c r="AE53" s="856"/>
      <c r="AF53" s="856"/>
      <c r="AG53" s="856"/>
      <c r="AH53" s="856"/>
      <c r="AI53" s="856"/>
      <c r="AJ53" s="856"/>
      <c r="AK53" s="856"/>
      <c r="AL53" s="98"/>
      <c r="AM53" s="19"/>
      <c r="AN53" s="159"/>
      <c r="AO53" s="19"/>
      <c r="AP53" s="19"/>
      <c r="AQ53" s="19"/>
      <c r="AR53" s="19"/>
      <c r="AS53" s="19"/>
      <c r="AT53" s="19"/>
      <c r="AU53" s="19"/>
      <c r="AV53" s="19"/>
      <c r="AW53" s="19"/>
      <c r="AX53" s="19"/>
      <c r="AY53" s="19"/>
    </row>
    <row r="54" spans="1:60" s="24" customFormat="1" ht="16.95" customHeight="1" thickBot="1">
      <c r="A54" s="58"/>
      <c r="B54" s="857" t="s">
        <v>69</v>
      </c>
      <c r="C54" s="858"/>
      <c r="D54" s="858"/>
      <c r="E54" s="858"/>
      <c r="F54" s="858"/>
      <c r="G54" s="858"/>
      <c r="H54" s="858"/>
      <c r="I54" s="858"/>
      <c r="J54" s="858"/>
      <c r="K54" s="858"/>
      <c r="L54" s="858"/>
      <c r="M54" s="858"/>
      <c r="N54" s="858"/>
      <c r="O54" s="858"/>
      <c r="P54" s="858"/>
      <c r="Q54" s="858"/>
      <c r="R54" s="858"/>
      <c r="S54" s="858"/>
      <c r="T54" s="858"/>
      <c r="U54" s="858"/>
      <c r="V54" s="858"/>
      <c r="W54" s="858"/>
      <c r="X54" s="858"/>
      <c r="Y54" s="858"/>
      <c r="Z54" s="858"/>
      <c r="AA54" s="858"/>
      <c r="AB54" s="858"/>
      <c r="AC54" s="858"/>
      <c r="AD54" s="858"/>
      <c r="AE54" s="858"/>
      <c r="AF54" s="858"/>
      <c r="AG54" s="858"/>
      <c r="AH54" s="858"/>
      <c r="AI54" s="858"/>
      <c r="AJ54" s="858"/>
      <c r="AK54" s="559"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36"/>
      <c r="AN54" s="536"/>
      <c r="AO54" s="536"/>
      <c r="AP54" s="536"/>
      <c r="AQ54" s="536"/>
      <c r="AR54" s="536"/>
      <c r="AS54" s="536"/>
      <c r="AT54" s="536"/>
      <c r="AU54" s="536"/>
      <c r="AV54" s="536"/>
      <c r="AW54" s="536"/>
      <c r="AX54" s="536"/>
      <c r="AY54" s="536"/>
    </row>
    <row r="55" spans="1:60" s="24" customFormat="1" ht="31.5" customHeight="1" thickTop="1" thickBot="1">
      <c r="A55" s="58"/>
      <c r="B55" s="781" t="s">
        <v>2185</v>
      </c>
      <c r="C55" s="826"/>
      <c r="D55" s="826"/>
      <c r="E55" s="826"/>
      <c r="F55" s="826"/>
      <c r="G55" s="826"/>
      <c r="H55" s="826"/>
      <c r="I55" s="826"/>
      <c r="J55" s="826"/>
      <c r="K55" s="826"/>
      <c r="L55" s="826"/>
      <c r="M55" s="826"/>
      <c r="N55" s="826"/>
      <c r="O55" s="826"/>
      <c r="P55" s="826"/>
      <c r="Q55" s="826"/>
      <c r="R55" s="826"/>
      <c r="S55" s="826"/>
      <c r="T55" s="826"/>
      <c r="U55" s="826"/>
      <c r="V55" s="826"/>
      <c r="W55" s="826"/>
      <c r="X55" s="826"/>
      <c r="Y55" s="826"/>
      <c r="Z55" s="826"/>
      <c r="AA55" s="826"/>
      <c r="AB55" s="826"/>
      <c r="AC55" s="826"/>
      <c r="AD55" s="826"/>
      <c r="AE55" s="826"/>
      <c r="AF55" s="826"/>
      <c r="AG55" s="826"/>
      <c r="AH55" s="826"/>
      <c r="AI55" s="826"/>
      <c r="AJ55" s="826"/>
      <c r="AK55" s="585"/>
      <c r="AL55" s="98"/>
      <c r="AM55" s="160"/>
      <c r="AN55" s="536"/>
      <c r="AO55" s="536"/>
      <c r="AP55" s="536"/>
      <c r="AQ55" s="536"/>
      <c r="AR55" s="536"/>
      <c r="AS55" s="536"/>
      <c r="AT55" s="536"/>
      <c r="AU55" s="536"/>
      <c r="AV55" s="536"/>
      <c r="AW55" s="536"/>
      <c r="AX55" s="536"/>
      <c r="AY55" s="536"/>
    </row>
    <row r="56" spans="1:60" s="24" customFormat="1" ht="31.5" customHeight="1" thickTop="1" thickBot="1">
      <c r="A56" s="58"/>
      <c r="B56" s="859" t="s">
        <v>2186</v>
      </c>
      <c r="C56" s="859"/>
      <c r="D56" s="859"/>
      <c r="E56" s="859"/>
      <c r="F56" s="859"/>
      <c r="G56" s="859"/>
      <c r="H56" s="859"/>
      <c r="I56" s="859"/>
      <c r="J56" s="859"/>
      <c r="K56" s="859"/>
      <c r="L56" s="859"/>
      <c r="M56" s="859"/>
      <c r="N56" s="859"/>
      <c r="O56" s="859"/>
      <c r="P56" s="859"/>
      <c r="Q56" s="859"/>
      <c r="R56" s="859"/>
      <c r="S56" s="859"/>
      <c r="T56" s="859"/>
      <c r="U56" s="859"/>
      <c r="V56" s="859"/>
      <c r="W56" s="859"/>
      <c r="X56" s="859"/>
      <c r="Y56" s="859"/>
      <c r="Z56" s="859"/>
      <c r="AA56" s="859"/>
      <c r="AB56" s="859"/>
      <c r="AC56" s="859"/>
      <c r="AD56" s="859"/>
      <c r="AE56" s="859"/>
      <c r="AF56" s="859"/>
      <c r="AG56" s="859"/>
      <c r="AH56" s="859"/>
      <c r="AI56" s="859"/>
      <c r="AJ56" s="860"/>
      <c r="AK56" s="586"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5"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861" t="str">
        <f>IF(AK56="×","",IF(OR(BA46&gt;0,BE46&gt;0),"該当",""))</f>
        <v/>
      </c>
      <c r="AJ58" s="862"/>
      <c r="AK58" s="571"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841" t="s">
        <v>2486</v>
      </c>
      <c r="D59" s="841"/>
      <c r="E59" s="841"/>
      <c r="F59" s="841"/>
      <c r="G59" s="841"/>
      <c r="H59" s="841"/>
      <c r="I59" s="841"/>
      <c r="J59" s="841"/>
      <c r="K59" s="841"/>
      <c r="L59" s="841"/>
      <c r="M59" s="841"/>
      <c r="N59" s="841"/>
      <c r="O59" s="841"/>
      <c r="P59" s="841"/>
      <c r="Q59" s="841"/>
      <c r="R59" s="841"/>
      <c r="S59" s="841"/>
      <c r="T59" s="841"/>
      <c r="U59" s="841"/>
      <c r="V59" s="841"/>
      <c r="W59" s="841"/>
      <c r="X59" s="841"/>
      <c r="Y59" s="841"/>
      <c r="Z59" s="841"/>
      <c r="AA59" s="841"/>
      <c r="AB59" s="841"/>
      <c r="AC59" s="841"/>
      <c r="AD59" s="841"/>
      <c r="AE59" s="841"/>
      <c r="AF59" s="841"/>
      <c r="AG59" s="841"/>
      <c r="AH59" s="841"/>
      <c r="AI59" s="841"/>
      <c r="AJ59" s="841"/>
      <c r="AK59" s="841"/>
      <c r="AL59" s="19"/>
      <c r="AM59" s="19"/>
      <c r="AN59" s="19"/>
      <c r="AO59" s="19"/>
      <c r="AP59" s="19"/>
      <c r="AQ59" s="371"/>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5" t="s">
        <v>72</v>
      </c>
      <c r="C61" s="376"/>
      <c r="D61" s="376"/>
      <c r="E61" s="376"/>
      <c r="F61" s="376"/>
      <c r="G61" s="376"/>
      <c r="H61" s="376"/>
      <c r="I61" s="376"/>
      <c r="J61" s="376"/>
      <c r="K61" s="376"/>
      <c r="L61" s="376"/>
      <c r="M61" s="376"/>
      <c r="N61" s="376"/>
      <c r="O61" s="376"/>
      <c r="P61" s="376"/>
      <c r="Q61" s="376"/>
      <c r="R61" s="376"/>
      <c r="S61" s="376"/>
      <c r="T61" s="376"/>
      <c r="U61" s="376"/>
      <c r="V61" s="376"/>
      <c r="W61" s="376"/>
      <c r="X61" s="376"/>
      <c r="Y61" s="376"/>
      <c r="Z61" s="376"/>
      <c r="AA61" s="376"/>
      <c r="AB61" s="376"/>
      <c r="AC61" s="376"/>
      <c r="AD61" s="376"/>
      <c r="AE61" s="376"/>
      <c r="AF61" s="376"/>
      <c r="AG61" s="376"/>
      <c r="AH61" s="135"/>
      <c r="AI61" s="863" t="str">
        <f>IF(OR(BA38-BA46&gt;0,BE38-BE46&gt;0),"該当","")</f>
        <v/>
      </c>
      <c r="AJ61" s="864"/>
      <c r="AK61" s="572"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4" customHeight="1">
      <c r="A62" s="18"/>
      <c r="B62" s="163" t="s">
        <v>71</v>
      </c>
      <c r="C62" s="841" t="s">
        <v>2493</v>
      </c>
      <c r="D62" s="841"/>
      <c r="E62" s="841"/>
      <c r="F62" s="841"/>
      <c r="G62" s="841"/>
      <c r="H62" s="841"/>
      <c r="I62" s="841"/>
      <c r="J62" s="841"/>
      <c r="K62" s="841"/>
      <c r="L62" s="841"/>
      <c r="M62" s="841"/>
      <c r="N62" s="841"/>
      <c r="O62" s="841"/>
      <c r="P62" s="841"/>
      <c r="Q62" s="841"/>
      <c r="R62" s="841"/>
      <c r="S62" s="841"/>
      <c r="T62" s="841"/>
      <c r="U62" s="841"/>
      <c r="V62" s="841"/>
      <c r="W62" s="841"/>
      <c r="X62" s="841"/>
      <c r="Y62" s="841"/>
      <c r="Z62" s="841"/>
      <c r="AA62" s="841"/>
      <c r="AB62" s="841"/>
      <c r="AC62" s="841"/>
      <c r="AD62" s="841"/>
      <c r="AE62" s="841"/>
      <c r="AF62" s="841"/>
      <c r="AG62" s="841"/>
      <c r="AH62" s="841"/>
      <c r="AI62" s="841"/>
      <c r="AJ62" s="841"/>
      <c r="AK62" s="841"/>
      <c r="AL62" s="19"/>
      <c r="AM62" s="19"/>
      <c r="AN62" s="19"/>
      <c r="AO62" s="19"/>
      <c r="AP62" s="19"/>
      <c r="AQ62" s="19"/>
      <c r="AR62" s="19"/>
      <c r="AS62" s="19"/>
      <c r="AT62" s="19"/>
      <c r="AU62" s="19"/>
      <c r="AV62" s="19"/>
      <c r="AW62" s="19"/>
      <c r="AX62" s="19"/>
      <c r="AY62" s="19"/>
    </row>
    <row r="63" spans="1:60" ht="7.95"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95" customHeight="1" thickBot="1">
      <c r="A64" s="18"/>
      <c r="B64" s="842" t="s">
        <v>73</v>
      </c>
      <c r="C64" s="843"/>
      <c r="D64" s="844"/>
      <c r="E64" s="845" t="s">
        <v>74</v>
      </c>
      <c r="F64" s="846"/>
      <c r="G64" s="846"/>
      <c r="H64" s="846"/>
      <c r="I64" s="846"/>
      <c r="J64" s="846"/>
      <c r="K64" s="846"/>
      <c r="L64" s="846"/>
      <c r="M64" s="846"/>
      <c r="N64" s="846"/>
      <c r="O64" s="846"/>
      <c r="P64" s="846"/>
      <c r="Q64" s="846"/>
      <c r="R64" s="846"/>
      <c r="S64" s="846"/>
      <c r="T64" s="846"/>
      <c r="U64" s="846"/>
      <c r="V64" s="846"/>
      <c r="W64" s="846"/>
      <c r="X64" s="846"/>
      <c r="Y64" s="846"/>
      <c r="Z64" s="846"/>
      <c r="AA64" s="846"/>
      <c r="AB64" s="846"/>
      <c r="AC64" s="846"/>
      <c r="AD64" s="846"/>
      <c r="AE64" s="846"/>
      <c r="AF64" s="846"/>
      <c r="AG64" s="846"/>
      <c r="AH64" s="846"/>
      <c r="AI64" s="846"/>
      <c r="AJ64" s="846"/>
      <c r="AK64" s="847"/>
      <c r="AL64" s="19"/>
      <c r="AM64" s="18"/>
      <c r="AN64" s="536"/>
      <c r="AO64" s="536"/>
      <c r="AP64" s="536"/>
      <c r="AQ64" s="536"/>
      <c r="AR64" s="536"/>
      <c r="AS64" s="536"/>
      <c r="AT64" s="536"/>
      <c r="AU64" s="536"/>
      <c r="AV64" s="536"/>
      <c r="AW64" s="536"/>
      <c r="AX64" s="536"/>
      <c r="AY64" s="536"/>
      <c r="AZ64" s="55"/>
      <c r="BA64" s="165" t="s">
        <v>75</v>
      </c>
    </row>
    <row r="65" spans="1:53" ht="15.6" customHeight="1">
      <c r="A65" s="18"/>
      <c r="B65" s="708" t="s">
        <v>76</v>
      </c>
      <c r="C65" s="709"/>
      <c r="D65" s="709"/>
      <c r="E65" s="850"/>
      <c r="F65" s="851"/>
      <c r="G65" s="852" t="s">
        <v>2242</v>
      </c>
      <c r="H65" s="853"/>
      <c r="I65" s="853"/>
      <c r="J65" s="853"/>
      <c r="K65" s="853"/>
      <c r="L65" s="853"/>
      <c r="M65" s="853"/>
      <c r="N65" s="853"/>
      <c r="O65" s="853"/>
      <c r="P65" s="853"/>
      <c r="Q65" s="853"/>
      <c r="R65" s="853"/>
      <c r="S65" s="853"/>
      <c r="T65" s="853"/>
      <c r="U65" s="853"/>
      <c r="V65" s="853"/>
      <c r="W65" s="853"/>
      <c r="X65" s="853"/>
      <c r="Y65" s="853"/>
      <c r="Z65" s="853"/>
      <c r="AA65" s="853"/>
      <c r="AB65" s="853"/>
      <c r="AC65" s="853"/>
      <c r="AD65" s="853"/>
      <c r="AE65" s="853"/>
      <c r="AF65" s="853"/>
      <c r="AG65" s="853"/>
      <c r="AH65" s="853"/>
      <c r="AI65" s="853"/>
      <c r="AJ65" s="853"/>
      <c r="AK65" s="854"/>
      <c r="AL65" s="19"/>
      <c r="AM65" s="810" t="str">
        <f>IF(AI58="該当", "！この区分（４項目）から２つ以上の取組が選択されていません。",  "！この区分（４項目）から１つ以上の取組が選択されていません。")</f>
        <v>！この区分（４項目）から１つ以上の取組が選択されていません。</v>
      </c>
      <c r="AN65" s="811"/>
      <c r="AO65" s="811"/>
      <c r="AP65" s="811"/>
      <c r="AQ65" s="811"/>
      <c r="AR65" s="811"/>
      <c r="AS65" s="811"/>
      <c r="AT65" s="811"/>
      <c r="AU65" s="811"/>
      <c r="AV65" s="811"/>
      <c r="AW65" s="811"/>
      <c r="AX65" s="812"/>
      <c r="AY65" s="19"/>
      <c r="AZ65" s="13"/>
      <c r="BA65" s="867">
        <f>COUNTIF(E65:F68, "✓")+COUNTIF(E65:F68, "誓約")</f>
        <v>0</v>
      </c>
    </row>
    <row r="66" spans="1:53" ht="15" customHeight="1" thickBot="1">
      <c r="A66" s="18"/>
      <c r="B66" s="670"/>
      <c r="C66" s="711"/>
      <c r="D66" s="711"/>
      <c r="E66" s="868"/>
      <c r="F66" s="869"/>
      <c r="G66" s="852" t="s">
        <v>77</v>
      </c>
      <c r="H66" s="853"/>
      <c r="I66" s="853"/>
      <c r="J66" s="853"/>
      <c r="K66" s="853"/>
      <c r="L66" s="853"/>
      <c r="M66" s="853"/>
      <c r="N66" s="853"/>
      <c r="O66" s="853"/>
      <c r="P66" s="853"/>
      <c r="Q66" s="853"/>
      <c r="R66" s="853"/>
      <c r="S66" s="853"/>
      <c r="T66" s="853"/>
      <c r="U66" s="853"/>
      <c r="V66" s="853"/>
      <c r="W66" s="853"/>
      <c r="X66" s="853"/>
      <c r="Y66" s="853"/>
      <c r="Z66" s="853"/>
      <c r="AA66" s="853"/>
      <c r="AB66" s="853"/>
      <c r="AC66" s="853"/>
      <c r="AD66" s="853"/>
      <c r="AE66" s="853"/>
      <c r="AF66" s="853"/>
      <c r="AG66" s="853"/>
      <c r="AH66" s="853"/>
      <c r="AI66" s="853"/>
      <c r="AJ66" s="853"/>
      <c r="AK66" s="854"/>
      <c r="AL66" s="19"/>
      <c r="AM66" s="813"/>
      <c r="AN66" s="814"/>
      <c r="AO66" s="814"/>
      <c r="AP66" s="814"/>
      <c r="AQ66" s="814"/>
      <c r="AR66" s="814"/>
      <c r="AS66" s="814"/>
      <c r="AT66" s="814"/>
      <c r="AU66" s="814"/>
      <c r="AV66" s="814"/>
      <c r="AW66" s="814"/>
      <c r="AX66" s="815"/>
      <c r="AY66" s="160"/>
      <c r="AZ66" s="166"/>
      <c r="BA66" s="867"/>
    </row>
    <row r="67" spans="1:53" ht="24.6" customHeight="1">
      <c r="A67" s="18"/>
      <c r="B67" s="670"/>
      <c r="C67" s="711"/>
      <c r="D67" s="711"/>
      <c r="E67" s="868"/>
      <c r="F67" s="869"/>
      <c r="G67" s="852" t="s">
        <v>2243</v>
      </c>
      <c r="H67" s="853"/>
      <c r="I67" s="853"/>
      <c r="J67" s="853"/>
      <c r="K67" s="853"/>
      <c r="L67" s="853"/>
      <c r="M67" s="853"/>
      <c r="N67" s="853"/>
      <c r="O67" s="853"/>
      <c r="P67" s="853"/>
      <c r="Q67" s="853"/>
      <c r="R67" s="853"/>
      <c r="S67" s="853"/>
      <c r="T67" s="853"/>
      <c r="U67" s="853"/>
      <c r="V67" s="853"/>
      <c r="W67" s="853"/>
      <c r="X67" s="853"/>
      <c r="Y67" s="853"/>
      <c r="Z67" s="853"/>
      <c r="AA67" s="853"/>
      <c r="AB67" s="853"/>
      <c r="AC67" s="853"/>
      <c r="AD67" s="853"/>
      <c r="AE67" s="853"/>
      <c r="AF67" s="853"/>
      <c r="AG67" s="853"/>
      <c r="AH67" s="853"/>
      <c r="AI67" s="853"/>
      <c r="AJ67" s="853"/>
      <c r="AK67" s="854"/>
      <c r="AL67" s="19"/>
      <c r="AM67" s="160"/>
      <c r="AN67" s="160"/>
      <c r="AO67" s="160"/>
      <c r="AP67" s="160"/>
      <c r="AQ67" s="160"/>
      <c r="AR67" s="160"/>
      <c r="AS67" s="160"/>
      <c r="AT67" s="160"/>
      <c r="AU67" s="160"/>
      <c r="AV67" s="160"/>
      <c r="AW67" s="160"/>
      <c r="AX67" s="160"/>
      <c r="AY67" s="160"/>
      <c r="AZ67" s="166"/>
      <c r="BA67" s="867"/>
    </row>
    <row r="68" spans="1:53" ht="15" customHeight="1" thickBot="1">
      <c r="A68" s="18"/>
      <c r="B68" s="848"/>
      <c r="C68" s="849"/>
      <c r="D68" s="849"/>
      <c r="E68" s="870"/>
      <c r="F68" s="871"/>
      <c r="G68" s="852" t="s">
        <v>2244</v>
      </c>
      <c r="H68" s="853"/>
      <c r="I68" s="853"/>
      <c r="J68" s="853"/>
      <c r="K68" s="853"/>
      <c r="L68" s="853"/>
      <c r="M68" s="853"/>
      <c r="N68" s="853"/>
      <c r="O68" s="853"/>
      <c r="P68" s="853"/>
      <c r="Q68" s="853"/>
      <c r="R68" s="853"/>
      <c r="S68" s="853"/>
      <c r="T68" s="853"/>
      <c r="U68" s="853"/>
      <c r="V68" s="853"/>
      <c r="W68" s="853"/>
      <c r="X68" s="853"/>
      <c r="Y68" s="853"/>
      <c r="Z68" s="853"/>
      <c r="AA68" s="853"/>
      <c r="AB68" s="853"/>
      <c r="AC68" s="853"/>
      <c r="AD68" s="853"/>
      <c r="AE68" s="853"/>
      <c r="AF68" s="853"/>
      <c r="AG68" s="853"/>
      <c r="AH68" s="853"/>
      <c r="AI68" s="853"/>
      <c r="AJ68" s="853"/>
      <c r="AK68" s="854"/>
      <c r="AL68" s="19"/>
      <c r="AM68" s="529"/>
      <c r="AN68" s="529"/>
      <c r="AO68" s="529"/>
      <c r="AP68" s="529"/>
      <c r="AQ68" s="529"/>
      <c r="AR68" s="529"/>
      <c r="AS68" s="529"/>
      <c r="AT68" s="529"/>
      <c r="AU68" s="529"/>
      <c r="AV68" s="529"/>
      <c r="AW68" s="529"/>
      <c r="AX68" s="529"/>
      <c r="AY68" s="19"/>
      <c r="AZ68" s="13"/>
      <c r="BA68" s="867"/>
    </row>
    <row r="69" spans="1:53" ht="39.6" customHeight="1">
      <c r="A69" s="18"/>
      <c r="B69" s="708" t="s">
        <v>78</v>
      </c>
      <c r="C69" s="709"/>
      <c r="D69" s="709"/>
      <c r="E69" s="850"/>
      <c r="F69" s="851"/>
      <c r="G69" s="852" t="s">
        <v>2245</v>
      </c>
      <c r="H69" s="853"/>
      <c r="I69" s="853"/>
      <c r="J69" s="853"/>
      <c r="K69" s="853"/>
      <c r="L69" s="853"/>
      <c r="M69" s="853"/>
      <c r="N69" s="853"/>
      <c r="O69" s="853"/>
      <c r="P69" s="853"/>
      <c r="Q69" s="853"/>
      <c r="R69" s="853"/>
      <c r="S69" s="853"/>
      <c r="T69" s="853"/>
      <c r="U69" s="853"/>
      <c r="V69" s="853"/>
      <c r="W69" s="853"/>
      <c r="X69" s="853"/>
      <c r="Y69" s="853"/>
      <c r="Z69" s="853"/>
      <c r="AA69" s="853"/>
      <c r="AB69" s="853"/>
      <c r="AC69" s="853"/>
      <c r="AD69" s="853"/>
      <c r="AE69" s="853"/>
      <c r="AF69" s="853"/>
      <c r="AG69" s="853"/>
      <c r="AH69" s="853"/>
      <c r="AI69" s="853"/>
      <c r="AJ69" s="853"/>
      <c r="AK69" s="854"/>
      <c r="AL69" s="19"/>
      <c r="AM69" s="810" t="str">
        <f>IF(AI58="該当", "！この区分（４項目）から２つ以上の取組が選択されていません。",  "！この区分（４項目）から１つ以上の取組が選択されていません。")</f>
        <v>！この区分（４項目）から１つ以上の取組が選択されていません。</v>
      </c>
      <c r="AN69" s="811"/>
      <c r="AO69" s="811"/>
      <c r="AP69" s="811"/>
      <c r="AQ69" s="811"/>
      <c r="AR69" s="811"/>
      <c r="AS69" s="811"/>
      <c r="AT69" s="811"/>
      <c r="AU69" s="811"/>
      <c r="AV69" s="811"/>
      <c r="AW69" s="811"/>
      <c r="AX69" s="812"/>
      <c r="AY69" s="19"/>
      <c r="AZ69" s="13"/>
      <c r="BA69" s="867">
        <f>COUNTIF(E69:F72, "✓")+COUNTIF(E69:F72, "誓約")</f>
        <v>0</v>
      </c>
    </row>
    <row r="70" spans="1:53" ht="15" customHeight="1" thickBot="1">
      <c r="A70" s="18"/>
      <c r="B70" s="670"/>
      <c r="C70" s="711"/>
      <c r="D70" s="711"/>
      <c r="E70" s="868"/>
      <c r="F70" s="869"/>
      <c r="G70" s="852" t="s">
        <v>2246</v>
      </c>
      <c r="H70" s="853"/>
      <c r="I70" s="853"/>
      <c r="J70" s="853"/>
      <c r="K70" s="853"/>
      <c r="L70" s="853"/>
      <c r="M70" s="853"/>
      <c r="N70" s="853"/>
      <c r="O70" s="853"/>
      <c r="P70" s="853"/>
      <c r="Q70" s="853"/>
      <c r="R70" s="853"/>
      <c r="S70" s="853"/>
      <c r="T70" s="853"/>
      <c r="U70" s="853"/>
      <c r="V70" s="853"/>
      <c r="W70" s="853"/>
      <c r="X70" s="853"/>
      <c r="Y70" s="853"/>
      <c r="Z70" s="853"/>
      <c r="AA70" s="853"/>
      <c r="AB70" s="853"/>
      <c r="AC70" s="853"/>
      <c r="AD70" s="853"/>
      <c r="AE70" s="853"/>
      <c r="AF70" s="853"/>
      <c r="AG70" s="853"/>
      <c r="AH70" s="853"/>
      <c r="AI70" s="853"/>
      <c r="AJ70" s="853"/>
      <c r="AK70" s="854"/>
      <c r="AL70" s="19"/>
      <c r="AM70" s="813"/>
      <c r="AN70" s="814"/>
      <c r="AO70" s="814"/>
      <c r="AP70" s="814"/>
      <c r="AQ70" s="814"/>
      <c r="AR70" s="814"/>
      <c r="AS70" s="814"/>
      <c r="AT70" s="814"/>
      <c r="AU70" s="814"/>
      <c r="AV70" s="814"/>
      <c r="AW70" s="814"/>
      <c r="AX70" s="815"/>
      <c r="AY70" s="160"/>
      <c r="AZ70" s="166"/>
      <c r="BA70" s="867"/>
    </row>
    <row r="71" spans="1:53" ht="15" customHeight="1">
      <c r="A71" s="18"/>
      <c r="B71" s="670"/>
      <c r="C71" s="711"/>
      <c r="D71" s="711"/>
      <c r="E71" s="878"/>
      <c r="F71" s="879"/>
      <c r="G71" s="852" t="s">
        <v>79</v>
      </c>
      <c r="H71" s="853"/>
      <c r="I71" s="853"/>
      <c r="J71" s="853"/>
      <c r="K71" s="853"/>
      <c r="L71" s="853"/>
      <c r="M71" s="853"/>
      <c r="N71" s="853"/>
      <c r="O71" s="853"/>
      <c r="P71" s="853"/>
      <c r="Q71" s="853"/>
      <c r="R71" s="853"/>
      <c r="S71" s="853"/>
      <c r="T71" s="853"/>
      <c r="U71" s="853"/>
      <c r="V71" s="853"/>
      <c r="W71" s="853"/>
      <c r="X71" s="853"/>
      <c r="Y71" s="853"/>
      <c r="Z71" s="853"/>
      <c r="AA71" s="853"/>
      <c r="AB71" s="853"/>
      <c r="AC71" s="853"/>
      <c r="AD71" s="853"/>
      <c r="AE71" s="853"/>
      <c r="AF71" s="853"/>
      <c r="AG71" s="853"/>
      <c r="AH71" s="853"/>
      <c r="AI71" s="853"/>
      <c r="AJ71" s="853"/>
      <c r="AK71" s="854"/>
      <c r="AL71" s="19"/>
      <c r="AM71" s="528"/>
      <c r="AN71" s="160"/>
      <c r="AO71" s="160"/>
      <c r="AP71" s="160"/>
      <c r="AQ71" s="160"/>
      <c r="AR71" s="160"/>
      <c r="AS71" s="160"/>
      <c r="AT71" s="160"/>
      <c r="AU71" s="160"/>
      <c r="AV71" s="160"/>
      <c r="AW71" s="160"/>
      <c r="AX71" s="160"/>
      <c r="AY71" s="160"/>
      <c r="AZ71" s="166"/>
      <c r="BA71" s="867"/>
    </row>
    <row r="72" spans="1:53" ht="15" customHeight="1" thickBot="1">
      <c r="A72" s="18"/>
      <c r="B72" s="848"/>
      <c r="C72" s="849"/>
      <c r="D72" s="849"/>
      <c r="E72" s="865"/>
      <c r="F72" s="866"/>
      <c r="G72" s="852" t="s">
        <v>80</v>
      </c>
      <c r="H72" s="853"/>
      <c r="I72" s="853"/>
      <c r="J72" s="853"/>
      <c r="K72" s="853"/>
      <c r="L72" s="853"/>
      <c r="M72" s="853"/>
      <c r="N72" s="853"/>
      <c r="O72" s="853"/>
      <c r="P72" s="853"/>
      <c r="Q72" s="853"/>
      <c r="R72" s="853"/>
      <c r="S72" s="853"/>
      <c r="T72" s="853"/>
      <c r="U72" s="853"/>
      <c r="V72" s="853"/>
      <c r="W72" s="853"/>
      <c r="X72" s="853"/>
      <c r="Y72" s="853"/>
      <c r="Z72" s="853"/>
      <c r="AA72" s="853"/>
      <c r="AB72" s="853"/>
      <c r="AC72" s="853"/>
      <c r="AD72" s="853"/>
      <c r="AE72" s="853"/>
      <c r="AF72" s="853"/>
      <c r="AG72" s="853"/>
      <c r="AH72" s="853"/>
      <c r="AI72" s="853"/>
      <c r="AJ72" s="853"/>
      <c r="AK72" s="854"/>
      <c r="AL72" s="19"/>
      <c r="AM72" s="529"/>
      <c r="AN72" s="529"/>
      <c r="AO72" s="529"/>
      <c r="AP72" s="529"/>
      <c r="AQ72" s="529"/>
      <c r="AR72" s="529"/>
      <c r="AS72" s="529"/>
      <c r="AT72" s="529"/>
      <c r="AU72" s="529"/>
      <c r="AV72" s="529"/>
      <c r="AW72" s="529"/>
      <c r="AX72" s="529"/>
      <c r="AY72" s="19"/>
      <c r="AZ72" s="13"/>
      <c r="BA72" s="867"/>
    </row>
    <row r="73" spans="1:53" ht="15" customHeight="1">
      <c r="A73" s="18"/>
      <c r="B73" s="708" t="s">
        <v>81</v>
      </c>
      <c r="C73" s="709"/>
      <c r="D73" s="875"/>
      <c r="E73" s="850"/>
      <c r="F73" s="851"/>
      <c r="G73" s="852" t="s">
        <v>2247</v>
      </c>
      <c r="H73" s="853"/>
      <c r="I73" s="853"/>
      <c r="J73" s="853"/>
      <c r="K73" s="853"/>
      <c r="L73" s="853"/>
      <c r="M73" s="853"/>
      <c r="N73" s="853"/>
      <c r="O73" s="853"/>
      <c r="P73" s="853"/>
      <c r="Q73" s="853"/>
      <c r="R73" s="853"/>
      <c r="S73" s="853"/>
      <c r="T73" s="853"/>
      <c r="U73" s="853"/>
      <c r="V73" s="853"/>
      <c r="W73" s="853"/>
      <c r="X73" s="853"/>
      <c r="Y73" s="853"/>
      <c r="Z73" s="853"/>
      <c r="AA73" s="853"/>
      <c r="AB73" s="853"/>
      <c r="AC73" s="853"/>
      <c r="AD73" s="853"/>
      <c r="AE73" s="853"/>
      <c r="AF73" s="853"/>
      <c r="AG73" s="853"/>
      <c r="AH73" s="853"/>
      <c r="AI73" s="853"/>
      <c r="AJ73" s="853"/>
      <c r="AK73" s="854"/>
      <c r="AL73" s="19"/>
      <c r="AM73" s="810" t="str">
        <f>IF(AI58="該当", "！この区分（４項目）から２つ以上の取組が選択されていません。",  "！この区分（４項目）から１つ以上の取組が選択されていません。")</f>
        <v>！この区分（４項目）から１つ以上の取組が選択されていません。</v>
      </c>
      <c r="AN73" s="811"/>
      <c r="AO73" s="811"/>
      <c r="AP73" s="811"/>
      <c r="AQ73" s="811"/>
      <c r="AR73" s="811"/>
      <c r="AS73" s="811"/>
      <c r="AT73" s="811"/>
      <c r="AU73" s="811"/>
      <c r="AV73" s="811"/>
      <c r="AW73" s="811"/>
      <c r="AX73" s="812"/>
      <c r="AY73" s="19"/>
      <c r="AZ73" s="13"/>
      <c r="BA73" s="867">
        <f>COUNTIF(E73:F76, "✓")+COUNTIF(E73:F76, "誓約")</f>
        <v>0</v>
      </c>
    </row>
    <row r="74" spans="1:53" ht="28.2" customHeight="1" thickBot="1">
      <c r="A74" s="18"/>
      <c r="B74" s="670"/>
      <c r="C74" s="711"/>
      <c r="D74" s="876"/>
      <c r="E74" s="868"/>
      <c r="F74" s="869"/>
      <c r="G74" s="852" t="s">
        <v>82</v>
      </c>
      <c r="H74" s="853"/>
      <c r="I74" s="853"/>
      <c r="J74" s="853"/>
      <c r="K74" s="853"/>
      <c r="L74" s="853"/>
      <c r="M74" s="853"/>
      <c r="N74" s="853"/>
      <c r="O74" s="853"/>
      <c r="P74" s="853"/>
      <c r="Q74" s="853"/>
      <c r="R74" s="853"/>
      <c r="S74" s="853"/>
      <c r="T74" s="853"/>
      <c r="U74" s="853"/>
      <c r="V74" s="853"/>
      <c r="W74" s="853"/>
      <c r="X74" s="853"/>
      <c r="Y74" s="853"/>
      <c r="Z74" s="853"/>
      <c r="AA74" s="853"/>
      <c r="AB74" s="853"/>
      <c r="AC74" s="853"/>
      <c r="AD74" s="853"/>
      <c r="AE74" s="853"/>
      <c r="AF74" s="853"/>
      <c r="AG74" s="853"/>
      <c r="AH74" s="853"/>
      <c r="AI74" s="853"/>
      <c r="AJ74" s="853"/>
      <c r="AK74" s="854"/>
      <c r="AL74" s="19"/>
      <c r="AM74" s="813"/>
      <c r="AN74" s="814"/>
      <c r="AO74" s="814"/>
      <c r="AP74" s="814"/>
      <c r="AQ74" s="814"/>
      <c r="AR74" s="814"/>
      <c r="AS74" s="814"/>
      <c r="AT74" s="814"/>
      <c r="AU74" s="814"/>
      <c r="AV74" s="814"/>
      <c r="AW74" s="814"/>
      <c r="AX74" s="815"/>
      <c r="AY74" s="160"/>
      <c r="AZ74" s="166"/>
      <c r="BA74" s="867"/>
    </row>
    <row r="75" spans="1:53" ht="45.6" customHeight="1">
      <c r="A75" s="18"/>
      <c r="B75" s="670"/>
      <c r="C75" s="711"/>
      <c r="D75" s="876"/>
      <c r="E75" s="868"/>
      <c r="F75" s="869"/>
      <c r="G75" s="852" t="s">
        <v>2248</v>
      </c>
      <c r="H75" s="853"/>
      <c r="I75" s="853"/>
      <c r="J75" s="853"/>
      <c r="K75" s="853"/>
      <c r="L75" s="853"/>
      <c r="M75" s="853"/>
      <c r="N75" s="853"/>
      <c r="O75" s="853"/>
      <c r="P75" s="853"/>
      <c r="Q75" s="853"/>
      <c r="R75" s="853"/>
      <c r="S75" s="853"/>
      <c r="T75" s="853"/>
      <c r="U75" s="853"/>
      <c r="V75" s="853"/>
      <c r="W75" s="853"/>
      <c r="X75" s="853"/>
      <c r="Y75" s="853"/>
      <c r="Z75" s="853"/>
      <c r="AA75" s="853"/>
      <c r="AB75" s="853"/>
      <c r="AC75" s="853"/>
      <c r="AD75" s="853"/>
      <c r="AE75" s="853"/>
      <c r="AF75" s="853"/>
      <c r="AG75" s="853"/>
      <c r="AH75" s="853"/>
      <c r="AI75" s="853"/>
      <c r="AJ75" s="853"/>
      <c r="AK75" s="854"/>
      <c r="AL75" s="19"/>
      <c r="AM75" s="160"/>
      <c r="AN75" s="160"/>
      <c r="AO75" s="160"/>
      <c r="AP75" s="160"/>
      <c r="AQ75" s="160"/>
      <c r="AR75" s="160"/>
      <c r="AS75" s="160"/>
      <c r="AT75" s="160"/>
      <c r="AU75" s="160"/>
      <c r="AV75" s="160"/>
      <c r="AW75" s="160"/>
      <c r="AX75" s="160"/>
      <c r="AY75" s="160"/>
      <c r="AZ75" s="166"/>
      <c r="BA75" s="867"/>
    </row>
    <row r="76" spans="1:53" ht="27" customHeight="1" thickBot="1">
      <c r="A76" s="18"/>
      <c r="B76" s="670"/>
      <c r="C76" s="711"/>
      <c r="D76" s="876"/>
      <c r="E76" s="865"/>
      <c r="F76" s="866"/>
      <c r="G76" s="852" t="s">
        <v>2249</v>
      </c>
      <c r="H76" s="853"/>
      <c r="I76" s="853"/>
      <c r="J76" s="853"/>
      <c r="K76" s="853"/>
      <c r="L76" s="853"/>
      <c r="M76" s="853"/>
      <c r="N76" s="853"/>
      <c r="O76" s="853"/>
      <c r="P76" s="853"/>
      <c r="Q76" s="853"/>
      <c r="R76" s="853"/>
      <c r="S76" s="853"/>
      <c r="T76" s="853"/>
      <c r="U76" s="853"/>
      <c r="V76" s="853"/>
      <c r="W76" s="853"/>
      <c r="X76" s="853"/>
      <c r="Y76" s="853"/>
      <c r="Z76" s="853"/>
      <c r="AA76" s="853"/>
      <c r="AB76" s="853"/>
      <c r="AC76" s="853"/>
      <c r="AD76" s="853"/>
      <c r="AE76" s="853"/>
      <c r="AF76" s="853"/>
      <c r="AG76" s="853"/>
      <c r="AH76" s="853"/>
      <c r="AI76" s="853"/>
      <c r="AJ76" s="853"/>
      <c r="AK76" s="854"/>
      <c r="AL76" s="19"/>
      <c r="AM76" s="529"/>
      <c r="AN76" s="529"/>
      <c r="AO76" s="529"/>
      <c r="AP76" s="529"/>
      <c r="AQ76" s="529"/>
      <c r="AR76" s="529"/>
      <c r="AS76" s="529"/>
      <c r="AT76" s="529"/>
      <c r="AU76" s="529"/>
      <c r="AV76" s="529"/>
      <c r="AW76" s="529"/>
      <c r="AX76" s="529"/>
      <c r="AY76" s="19"/>
      <c r="AZ76" s="13"/>
      <c r="BA76" s="867"/>
    </row>
    <row r="77" spans="1:53" ht="15" customHeight="1" thickBot="1">
      <c r="A77" s="18"/>
      <c r="B77" s="848"/>
      <c r="C77" s="849"/>
      <c r="D77" s="877"/>
      <c r="E77" s="872"/>
      <c r="F77" s="873"/>
      <c r="G77" s="852" t="s">
        <v>2250</v>
      </c>
      <c r="H77" s="853"/>
      <c r="I77" s="853"/>
      <c r="J77" s="853"/>
      <c r="K77" s="853"/>
      <c r="L77" s="853"/>
      <c r="M77" s="853"/>
      <c r="N77" s="853"/>
      <c r="O77" s="853"/>
      <c r="P77" s="853"/>
      <c r="Q77" s="853"/>
      <c r="R77" s="853"/>
      <c r="S77" s="853"/>
      <c r="T77" s="853"/>
      <c r="U77" s="853"/>
      <c r="V77" s="853"/>
      <c r="W77" s="853"/>
      <c r="X77" s="853"/>
      <c r="Y77" s="853"/>
      <c r="Z77" s="853"/>
      <c r="AA77" s="853"/>
      <c r="AB77" s="853"/>
      <c r="AC77" s="853"/>
      <c r="AD77" s="853"/>
      <c r="AE77" s="853"/>
      <c r="AF77" s="853"/>
      <c r="AG77" s="853"/>
      <c r="AH77" s="853"/>
      <c r="AI77" s="853"/>
      <c r="AJ77" s="853"/>
      <c r="AK77" s="854"/>
      <c r="AL77" s="19"/>
      <c r="AM77" s="874" t="str">
        <f>IF(AI58="該当", "！この区分（４項目）から２つ以上の取組が選択されていません。",  "！この区分（４項目）から１つ以上の取組が選択されていません。")</f>
        <v>！この区分（４項目）から１つ以上の取組が選択されていません。</v>
      </c>
      <c r="AN77" s="811"/>
      <c r="AO77" s="811"/>
      <c r="AP77" s="811"/>
      <c r="AQ77" s="811"/>
      <c r="AR77" s="811"/>
      <c r="AS77" s="811"/>
      <c r="AT77" s="811"/>
      <c r="AU77" s="811"/>
      <c r="AV77" s="811"/>
      <c r="AW77" s="811"/>
      <c r="AX77" s="812"/>
      <c r="AY77" s="19"/>
      <c r="AZ77" s="13"/>
      <c r="BA77" s="867">
        <f>COUNTIF(E77:F80, "✓")+COUNTIF(E77:F80, "誓約")</f>
        <v>0</v>
      </c>
    </row>
    <row r="78" spans="1:53" ht="32.4" customHeight="1" thickBot="1">
      <c r="A78" s="18"/>
      <c r="B78" s="708" t="s">
        <v>83</v>
      </c>
      <c r="C78" s="709"/>
      <c r="D78" s="875"/>
      <c r="E78" s="868"/>
      <c r="F78" s="869"/>
      <c r="G78" s="852" t="s">
        <v>2251</v>
      </c>
      <c r="H78" s="853"/>
      <c r="I78" s="853"/>
      <c r="J78" s="853"/>
      <c r="K78" s="853"/>
      <c r="L78" s="853"/>
      <c r="M78" s="853"/>
      <c r="N78" s="853"/>
      <c r="O78" s="853"/>
      <c r="P78" s="853"/>
      <c r="Q78" s="853"/>
      <c r="R78" s="853"/>
      <c r="S78" s="853"/>
      <c r="T78" s="853"/>
      <c r="U78" s="853"/>
      <c r="V78" s="853"/>
      <c r="W78" s="853"/>
      <c r="X78" s="853"/>
      <c r="Y78" s="853"/>
      <c r="Z78" s="853"/>
      <c r="AA78" s="853"/>
      <c r="AB78" s="853"/>
      <c r="AC78" s="853"/>
      <c r="AD78" s="853"/>
      <c r="AE78" s="853"/>
      <c r="AF78" s="853"/>
      <c r="AG78" s="853"/>
      <c r="AH78" s="853"/>
      <c r="AI78" s="853"/>
      <c r="AJ78" s="853"/>
      <c r="AK78" s="854"/>
      <c r="AL78" s="18"/>
      <c r="AM78" s="813"/>
      <c r="AN78" s="814"/>
      <c r="AO78" s="814"/>
      <c r="AP78" s="814"/>
      <c r="AQ78" s="814"/>
      <c r="AR78" s="814"/>
      <c r="AS78" s="814"/>
      <c r="AT78" s="814"/>
      <c r="AU78" s="814"/>
      <c r="AV78" s="814"/>
      <c r="AW78" s="814"/>
      <c r="AX78" s="815"/>
      <c r="AY78" s="160"/>
      <c r="AZ78" s="166"/>
      <c r="BA78" s="867"/>
    </row>
    <row r="79" spans="1:53" ht="28.2" customHeight="1">
      <c r="A79" s="18"/>
      <c r="B79" s="670"/>
      <c r="C79" s="711"/>
      <c r="D79" s="876"/>
      <c r="E79" s="868"/>
      <c r="F79" s="869"/>
      <c r="G79" s="852" t="s">
        <v>2252</v>
      </c>
      <c r="H79" s="853"/>
      <c r="I79" s="853"/>
      <c r="J79" s="853"/>
      <c r="K79" s="853"/>
      <c r="L79" s="853"/>
      <c r="M79" s="853"/>
      <c r="N79" s="853"/>
      <c r="O79" s="853"/>
      <c r="P79" s="853"/>
      <c r="Q79" s="853"/>
      <c r="R79" s="853"/>
      <c r="S79" s="853"/>
      <c r="T79" s="853"/>
      <c r="U79" s="853"/>
      <c r="V79" s="853"/>
      <c r="W79" s="853"/>
      <c r="X79" s="853"/>
      <c r="Y79" s="853"/>
      <c r="Z79" s="853"/>
      <c r="AA79" s="853"/>
      <c r="AB79" s="853"/>
      <c r="AC79" s="853"/>
      <c r="AD79" s="853"/>
      <c r="AE79" s="853"/>
      <c r="AF79" s="853"/>
      <c r="AG79" s="853"/>
      <c r="AH79" s="853"/>
      <c r="AI79" s="853"/>
      <c r="AJ79" s="853"/>
      <c r="AK79" s="854"/>
      <c r="AL79" s="19"/>
      <c r="AM79" s="160"/>
      <c r="AN79" s="160"/>
      <c r="AO79" s="160"/>
      <c r="AP79" s="160"/>
      <c r="AQ79" s="160"/>
      <c r="AR79" s="160"/>
      <c r="AS79" s="160"/>
      <c r="AT79" s="160"/>
      <c r="AU79" s="160"/>
      <c r="AV79" s="160"/>
      <c r="AW79" s="160"/>
      <c r="AX79" s="160"/>
      <c r="AY79" s="160"/>
      <c r="AZ79" s="166"/>
      <c r="BA79" s="867"/>
    </row>
    <row r="80" spans="1:53" ht="29.25" customHeight="1" thickBot="1">
      <c r="A80" s="18"/>
      <c r="B80" s="670"/>
      <c r="C80" s="711"/>
      <c r="D80" s="876"/>
      <c r="E80" s="865"/>
      <c r="F80" s="866"/>
      <c r="G80" s="852" t="s">
        <v>2257</v>
      </c>
      <c r="H80" s="853"/>
      <c r="I80" s="853"/>
      <c r="J80" s="853"/>
      <c r="K80" s="853"/>
      <c r="L80" s="853"/>
      <c r="M80" s="853"/>
      <c r="N80" s="853"/>
      <c r="O80" s="853"/>
      <c r="P80" s="853"/>
      <c r="Q80" s="853"/>
      <c r="R80" s="853"/>
      <c r="S80" s="853"/>
      <c r="T80" s="853"/>
      <c r="U80" s="853"/>
      <c r="V80" s="853"/>
      <c r="W80" s="853"/>
      <c r="X80" s="853"/>
      <c r="Y80" s="853"/>
      <c r="Z80" s="853"/>
      <c r="AA80" s="853"/>
      <c r="AB80" s="853"/>
      <c r="AC80" s="853"/>
      <c r="AD80" s="853"/>
      <c r="AE80" s="853"/>
      <c r="AF80" s="853"/>
      <c r="AG80" s="853"/>
      <c r="AH80" s="853"/>
      <c r="AI80" s="853"/>
      <c r="AJ80" s="853"/>
      <c r="AK80" s="854"/>
      <c r="AL80" s="19"/>
      <c r="AM80" s="160"/>
      <c r="AN80" s="160"/>
      <c r="AO80" s="160"/>
      <c r="AP80" s="160"/>
      <c r="AQ80" s="160"/>
      <c r="AR80" s="160"/>
      <c r="AS80" s="160"/>
      <c r="AT80" s="160"/>
      <c r="AU80" s="160"/>
      <c r="AV80" s="160"/>
      <c r="AW80" s="160"/>
      <c r="AX80" s="160"/>
      <c r="AY80" s="19"/>
      <c r="AZ80" s="13"/>
      <c r="BA80" s="867"/>
    </row>
    <row r="81" spans="1:53" ht="28.2" customHeight="1" thickBot="1">
      <c r="A81" s="18"/>
      <c r="B81" s="848"/>
      <c r="C81" s="849"/>
      <c r="D81" s="877"/>
      <c r="E81" s="872"/>
      <c r="F81" s="873"/>
      <c r="G81" s="852" t="s">
        <v>2253</v>
      </c>
      <c r="H81" s="853"/>
      <c r="I81" s="853"/>
      <c r="J81" s="853"/>
      <c r="K81" s="853"/>
      <c r="L81" s="853"/>
      <c r="M81" s="853"/>
      <c r="N81" s="853"/>
      <c r="O81" s="853"/>
      <c r="P81" s="853"/>
      <c r="Q81" s="853"/>
      <c r="R81" s="853"/>
      <c r="S81" s="853"/>
      <c r="T81" s="853"/>
      <c r="U81" s="853"/>
      <c r="V81" s="853"/>
      <c r="W81" s="853"/>
      <c r="X81" s="853"/>
      <c r="Y81" s="853"/>
      <c r="Z81" s="853"/>
      <c r="AA81" s="853"/>
      <c r="AB81" s="853"/>
      <c r="AC81" s="853"/>
      <c r="AD81" s="853"/>
      <c r="AE81" s="853"/>
      <c r="AF81" s="853"/>
      <c r="AG81" s="853"/>
      <c r="AH81" s="853"/>
      <c r="AI81" s="853"/>
      <c r="AJ81" s="853"/>
      <c r="AK81" s="854"/>
      <c r="AL81" s="19"/>
      <c r="AM81" s="880" t="str">
        <f>IF(AND(AI58="該当", E82= ""), "！⑱の取組は必須です。",  "")</f>
        <v/>
      </c>
      <c r="AN81" s="881"/>
      <c r="AO81" s="881"/>
      <c r="AP81" s="881"/>
      <c r="AQ81" s="881"/>
      <c r="AR81" s="881"/>
      <c r="AS81" s="881"/>
      <c r="AT81" s="881"/>
      <c r="AU81" s="881"/>
      <c r="AV81" s="881"/>
      <c r="AW81" s="881"/>
      <c r="AX81" s="882"/>
      <c r="AY81" s="19"/>
      <c r="AZ81" s="13"/>
      <c r="BA81" s="883">
        <f>COUNTIF(E81:F88, "✓")+COUNTIF(E81:F88, "誓約")</f>
        <v>0</v>
      </c>
    </row>
    <row r="82" spans="1:53" ht="15" customHeight="1" thickBot="1">
      <c r="A82" s="18"/>
      <c r="B82" s="708" t="s">
        <v>84</v>
      </c>
      <c r="C82" s="709"/>
      <c r="D82" s="875"/>
      <c r="E82" s="868"/>
      <c r="F82" s="869"/>
      <c r="G82" s="852" t="s">
        <v>85</v>
      </c>
      <c r="H82" s="853"/>
      <c r="I82" s="853"/>
      <c r="J82" s="853"/>
      <c r="K82" s="853"/>
      <c r="L82" s="853"/>
      <c r="M82" s="853"/>
      <c r="N82" s="853"/>
      <c r="O82" s="853"/>
      <c r="P82" s="853"/>
      <c r="Q82" s="853"/>
      <c r="R82" s="853"/>
      <c r="S82" s="853"/>
      <c r="T82" s="853"/>
      <c r="U82" s="853"/>
      <c r="V82" s="853"/>
      <c r="W82" s="853"/>
      <c r="X82" s="853"/>
      <c r="Y82" s="853"/>
      <c r="Z82" s="853"/>
      <c r="AA82" s="853"/>
      <c r="AB82" s="853"/>
      <c r="AC82" s="853"/>
      <c r="AD82" s="853"/>
      <c r="AE82" s="853"/>
      <c r="AF82" s="853"/>
      <c r="AG82" s="853"/>
      <c r="AH82" s="853"/>
      <c r="AI82" s="853"/>
      <c r="AJ82" s="853"/>
      <c r="AK82" s="854"/>
      <c r="AL82" s="19"/>
      <c r="AM82" s="160"/>
      <c r="AN82" s="160"/>
      <c r="AO82" s="160"/>
      <c r="AP82" s="160"/>
      <c r="AQ82" s="160"/>
      <c r="AR82" s="160"/>
      <c r="AS82" s="160"/>
      <c r="AT82" s="160"/>
      <c r="AU82" s="160"/>
      <c r="AV82" s="160"/>
      <c r="AW82" s="160"/>
      <c r="AX82" s="160"/>
      <c r="AY82" s="160"/>
      <c r="AZ82" s="166"/>
      <c r="BA82" s="884"/>
    </row>
    <row r="83" spans="1:53" ht="26.4" customHeight="1">
      <c r="A83" s="18"/>
      <c r="B83" s="670"/>
      <c r="C83" s="711"/>
      <c r="D83" s="876"/>
      <c r="E83" s="868"/>
      <c r="F83" s="869"/>
      <c r="G83" s="852" t="s">
        <v>86</v>
      </c>
      <c r="H83" s="853"/>
      <c r="I83" s="853"/>
      <c r="J83" s="853"/>
      <c r="K83" s="853"/>
      <c r="L83" s="853"/>
      <c r="M83" s="853"/>
      <c r="N83" s="853"/>
      <c r="O83" s="853"/>
      <c r="P83" s="853"/>
      <c r="Q83" s="853"/>
      <c r="R83" s="853"/>
      <c r="S83" s="853"/>
      <c r="T83" s="853"/>
      <c r="U83" s="853"/>
      <c r="V83" s="853"/>
      <c r="W83" s="853"/>
      <c r="X83" s="853"/>
      <c r="Y83" s="853"/>
      <c r="Z83" s="853"/>
      <c r="AA83" s="853"/>
      <c r="AB83" s="853"/>
      <c r="AC83" s="853"/>
      <c r="AD83" s="853"/>
      <c r="AE83" s="853"/>
      <c r="AF83" s="853"/>
      <c r="AG83" s="853"/>
      <c r="AH83" s="853"/>
      <c r="AI83" s="853"/>
      <c r="AJ83" s="853"/>
      <c r="AK83" s="854"/>
      <c r="AL83" s="19"/>
      <c r="AM83" s="810" t="str">
        <f>IF(AI58="該当", "！この区分（８項目）から３つ以上の取組が選択されていません。",  "！この区分（４項目）から２つ以上の取組が選択されていません。")</f>
        <v>！この区分（４項目）から２つ以上の取組が選択されていません。</v>
      </c>
      <c r="AN83" s="811"/>
      <c r="AO83" s="811"/>
      <c r="AP83" s="811"/>
      <c r="AQ83" s="811"/>
      <c r="AR83" s="811"/>
      <c r="AS83" s="811"/>
      <c r="AT83" s="811"/>
      <c r="AU83" s="811"/>
      <c r="AV83" s="811"/>
      <c r="AW83" s="811"/>
      <c r="AX83" s="812"/>
      <c r="AY83" s="160"/>
      <c r="AZ83" s="166"/>
      <c r="BA83" s="884"/>
    </row>
    <row r="84" spans="1:53" ht="15" customHeight="1" thickBot="1">
      <c r="A84" s="18"/>
      <c r="B84" s="670"/>
      <c r="C84" s="711"/>
      <c r="D84" s="876"/>
      <c r="E84" s="868"/>
      <c r="F84" s="869"/>
      <c r="G84" s="852" t="s">
        <v>87</v>
      </c>
      <c r="H84" s="853"/>
      <c r="I84" s="853"/>
      <c r="J84" s="853"/>
      <c r="K84" s="853"/>
      <c r="L84" s="853"/>
      <c r="M84" s="853"/>
      <c r="N84" s="853"/>
      <c r="O84" s="853"/>
      <c r="P84" s="853"/>
      <c r="Q84" s="853"/>
      <c r="R84" s="853"/>
      <c r="S84" s="853"/>
      <c r="T84" s="853"/>
      <c r="U84" s="853"/>
      <c r="V84" s="853"/>
      <c r="W84" s="853"/>
      <c r="X84" s="853"/>
      <c r="Y84" s="853"/>
      <c r="Z84" s="853"/>
      <c r="AA84" s="853"/>
      <c r="AB84" s="853"/>
      <c r="AC84" s="853"/>
      <c r="AD84" s="853"/>
      <c r="AE84" s="853"/>
      <c r="AF84" s="853"/>
      <c r="AG84" s="853"/>
      <c r="AH84" s="853"/>
      <c r="AI84" s="853"/>
      <c r="AJ84" s="853"/>
      <c r="AK84" s="854"/>
      <c r="AL84" s="19"/>
      <c r="AM84" s="813"/>
      <c r="AN84" s="814"/>
      <c r="AO84" s="814"/>
      <c r="AP84" s="814"/>
      <c r="AQ84" s="814"/>
      <c r="AR84" s="814"/>
      <c r="AS84" s="814"/>
      <c r="AT84" s="814"/>
      <c r="AU84" s="814"/>
      <c r="AV84" s="814"/>
      <c r="AW84" s="814"/>
      <c r="AX84" s="815"/>
      <c r="AY84" s="19"/>
      <c r="AZ84" s="13"/>
      <c r="BA84" s="884"/>
    </row>
    <row r="85" spans="1:53" ht="27.6" customHeight="1">
      <c r="A85" s="18"/>
      <c r="B85" s="670"/>
      <c r="C85" s="711"/>
      <c r="D85" s="876"/>
      <c r="E85" s="868"/>
      <c r="F85" s="869"/>
      <c r="G85" s="852" t="s">
        <v>2254</v>
      </c>
      <c r="H85" s="853"/>
      <c r="I85" s="853"/>
      <c r="J85" s="853"/>
      <c r="K85" s="853"/>
      <c r="L85" s="853"/>
      <c r="M85" s="853"/>
      <c r="N85" s="853"/>
      <c r="O85" s="853"/>
      <c r="P85" s="853"/>
      <c r="Q85" s="853"/>
      <c r="R85" s="853"/>
      <c r="S85" s="853"/>
      <c r="T85" s="853"/>
      <c r="U85" s="853"/>
      <c r="V85" s="853"/>
      <c r="W85" s="853"/>
      <c r="X85" s="853"/>
      <c r="Y85" s="853"/>
      <c r="Z85" s="853"/>
      <c r="AA85" s="853"/>
      <c r="AB85" s="853"/>
      <c r="AC85" s="853"/>
      <c r="AD85" s="853"/>
      <c r="AE85" s="853"/>
      <c r="AF85" s="853"/>
      <c r="AG85" s="853"/>
      <c r="AH85" s="853"/>
      <c r="AI85" s="853"/>
      <c r="AJ85" s="853"/>
      <c r="AK85" s="854"/>
      <c r="AL85" s="19"/>
      <c r="AM85" s="160"/>
      <c r="AN85" s="160"/>
      <c r="AO85" s="160"/>
      <c r="AP85" s="160"/>
      <c r="AQ85" s="160"/>
      <c r="AR85" s="160"/>
      <c r="AS85" s="160"/>
      <c r="AT85" s="160"/>
      <c r="AU85" s="160"/>
      <c r="AV85" s="160"/>
      <c r="AW85" s="160"/>
      <c r="AX85" s="160"/>
      <c r="AY85" s="160"/>
      <c r="AZ85" s="166"/>
      <c r="BA85" s="884"/>
    </row>
    <row r="86" spans="1:53" ht="28.2" customHeight="1">
      <c r="A86" s="18"/>
      <c r="B86" s="670"/>
      <c r="C86" s="711"/>
      <c r="D86" s="876"/>
      <c r="E86" s="868"/>
      <c r="F86" s="869"/>
      <c r="G86" s="852" t="s">
        <v>88</v>
      </c>
      <c r="H86" s="853"/>
      <c r="I86" s="853"/>
      <c r="J86" s="853"/>
      <c r="K86" s="853"/>
      <c r="L86" s="853"/>
      <c r="M86" s="853"/>
      <c r="N86" s="853"/>
      <c r="O86" s="853"/>
      <c r="P86" s="853"/>
      <c r="Q86" s="853"/>
      <c r="R86" s="853"/>
      <c r="S86" s="853"/>
      <c r="T86" s="853"/>
      <c r="U86" s="853"/>
      <c r="V86" s="853"/>
      <c r="W86" s="853"/>
      <c r="X86" s="853"/>
      <c r="Y86" s="853"/>
      <c r="Z86" s="853"/>
      <c r="AA86" s="853"/>
      <c r="AB86" s="853"/>
      <c r="AC86" s="853"/>
      <c r="AD86" s="853"/>
      <c r="AE86" s="853"/>
      <c r="AF86" s="853"/>
      <c r="AG86" s="853"/>
      <c r="AH86" s="853"/>
      <c r="AI86" s="853"/>
      <c r="AJ86" s="853"/>
      <c r="AK86" s="854"/>
      <c r="AL86" s="19"/>
      <c r="AM86" s="160"/>
      <c r="AN86" s="160"/>
      <c r="AO86" s="160"/>
      <c r="AP86" s="160"/>
      <c r="AQ86" s="160"/>
      <c r="AR86" s="160"/>
      <c r="AS86" s="160"/>
      <c r="AT86" s="160"/>
      <c r="AU86" s="160"/>
      <c r="AV86" s="160"/>
      <c r="AW86" s="160"/>
      <c r="AX86" s="160"/>
      <c r="AY86" s="160"/>
      <c r="AZ86" s="166"/>
      <c r="BA86" s="884"/>
    </row>
    <row r="87" spans="1:53" ht="46.95" customHeight="1">
      <c r="A87" s="18"/>
      <c r="B87" s="670"/>
      <c r="C87" s="711"/>
      <c r="D87" s="876"/>
      <c r="E87" s="868"/>
      <c r="F87" s="869"/>
      <c r="G87" s="852" t="s">
        <v>2258</v>
      </c>
      <c r="H87" s="853"/>
      <c r="I87" s="853"/>
      <c r="J87" s="853"/>
      <c r="K87" s="853"/>
      <c r="L87" s="853"/>
      <c r="M87" s="853"/>
      <c r="N87" s="853"/>
      <c r="O87" s="853"/>
      <c r="P87" s="853"/>
      <c r="Q87" s="853"/>
      <c r="R87" s="853"/>
      <c r="S87" s="853"/>
      <c r="T87" s="853"/>
      <c r="U87" s="853"/>
      <c r="V87" s="853"/>
      <c r="W87" s="853"/>
      <c r="X87" s="853"/>
      <c r="Y87" s="853"/>
      <c r="Z87" s="853"/>
      <c r="AA87" s="853"/>
      <c r="AB87" s="853"/>
      <c r="AC87" s="853"/>
      <c r="AD87" s="853"/>
      <c r="AE87" s="853"/>
      <c r="AF87" s="853"/>
      <c r="AG87" s="853"/>
      <c r="AH87" s="853"/>
      <c r="AI87" s="853"/>
      <c r="AJ87" s="853"/>
      <c r="AK87" s="854"/>
      <c r="AL87" s="19"/>
      <c r="AM87" s="160"/>
      <c r="AN87" s="160"/>
      <c r="AO87" s="160"/>
      <c r="AP87" s="160"/>
      <c r="AQ87" s="160"/>
      <c r="AR87" s="160"/>
      <c r="AS87" s="160"/>
      <c r="AT87" s="160"/>
      <c r="AU87" s="160"/>
      <c r="AV87" s="160"/>
      <c r="AW87" s="160"/>
      <c r="AX87" s="160"/>
      <c r="AY87" s="19"/>
      <c r="AZ87" s="13"/>
      <c r="BA87" s="884"/>
    </row>
    <row r="88" spans="1:53" ht="42.6" customHeight="1">
      <c r="A88" s="18"/>
      <c r="B88" s="670"/>
      <c r="C88" s="711"/>
      <c r="D88" s="876"/>
      <c r="E88" s="868"/>
      <c r="F88" s="869"/>
      <c r="G88" s="852" t="s">
        <v>89</v>
      </c>
      <c r="H88" s="853"/>
      <c r="I88" s="853"/>
      <c r="J88" s="853"/>
      <c r="K88" s="853"/>
      <c r="L88" s="853"/>
      <c r="M88" s="853"/>
      <c r="N88" s="853"/>
      <c r="O88" s="853"/>
      <c r="P88" s="853"/>
      <c r="Q88" s="853"/>
      <c r="R88" s="853"/>
      <c r="S88" s="853"/>
      <c r="T88" s="853"/>
      <c r="U88" s="853"/>
      <c r="V88" s="853"/>
      <c r="W88" s="853"/>
      <c r="X88" s="853"/>
      <c r="Y88" s="853"/>
      <c r="Z88" s="853"/>
      <c r="AA88" s="853"/>
      <c r="AB88" s="853"/>
      <c r="AC88" s="853"/>
      <c r="AD88" s="853"/>
      <c r="AE88" s="853"/>
      <c r="AF88" s="853"/>
      <c r="AG88" s="853"/>
      <c r="AH88" s="853"/>
      <c r="AI88" s="853"/>
      <c r="AJ88" s="853"/>
      <c r="AK88" s="854"/>
      <c r="AL88" s="19"/>
      <c r="AM88" s="160"/>
      <c r="AN88" s="160"/>
      <c r="AO88" s="160"/>
      <c r="AP88" s="160"/>
      <c r="AQ88" s="160"/>
      <c r="AR88" s="160"/>
      <c r="AS88" s="160"/>
      <c r="AT88" s="160"/>
      <c r="AU88" s="160"/>
      <c r="AV88" s="160"/>
      <c r="AW88" s="160"/>
      <c r="AX88" s="160"/>
      <c r="AY88" s="19"/>
      <c r="AZ88" s="13"/>
      <c r="BA88" s="885"/>
    </row>
    <row r="89" spans="1:53" ht="28.2" customHeight="1" thickBot="1">
      <c r="A89" s="18"/>
      <c r="B89" s="848"/>
      <c r="C89" s="849"/>
      <c r="D89" s="877"/>
      <c r="E89" s="872"/>
      <c r="F89" s="873"/>
      <c r="G89" s="887" t="s">
        <v>90</v>
      </c>
      <c r="H89" s="888"/>
      <c r="I89" s="888"/>
      <c r="J89" s="888"/>
      <c r="K89" s="888"/>
      <c r="L89" s="888"/>
      <c r="M89" s="888"/>
      <c r="N89" s="888"/>
      <c r="O89" s="888"/>
      <c r="P89" s="888"/>
      <c r="Q89" s="888"/>
      <c r="R89" s="888"/>
      <c r="S89" s="888"/>
      <c r="T89" s="888"/>
      <c r="U89" s="888"/>
      <c r="V89" s="888"/>
      <c r="W89" s="888"/>
      <c r="X89" s="888"/>
      <c r="Y89" s="888"/>
      <c r="Z89" s="888"/>
      <c r="AA89" s="888"/>
      <c r="AB89" s="888"/>
      <c r="AC89" s="888"/>
      <c r="AD89" s="888"/>
      <c r="AE89" s="888"/>
      <c r="AF89" s="888"/>
      <c r="AG89" s="888"/>
      <c r="AH89" s="888"/>
      <c r="AI89" s="888"/>
      <c r="AJ89" s="888"/>
      <c r="AK89" s="889"/>
      <c r="AL89" s="19"/>
      <c r="AM89" s="160"/>
      <c r="AN89" s="160"/>
      <c r="AO89" s="160"/>
      <c r="AP89" s="160"/>
      <c r="AQ89" s="160"/>
      <c r="AR89" s="160"/>
      <c r="AS89" s="160"/>
      <c r="AT89" s="160"/>
      <c r="AU89" s="160"/>
      <c r="AV89" s="160"/>
      <c r="AW89" s="160"/>
      <c r="AX89" s="160"/>
      <c r="AY89" s="19"/>
      <c r="AZ89" s="13"/>
      <c r="BA89" s="535"/>
    </row>
    <row r="90" spans="1:53" ht="24" customHeight="1">
      <c r="A90" s="18"/>
      <c r="B90" s="708" t="s">
        <v>91</v>
      </c>
      <c r="C90" s="709"/>
      <c r="D90" s="875"/>
      <c r="E90" s="850"/>
      <c r="F90" s="851"/>
      <c r="G90" s="852" t="s">
        <v>2259</v>
      </c>
      <c r="H90" s="853"/>
      <c r="I90" s="853"/>
      <c r="J90" s="853"/>
      <c r="K90" s="853"/>
      <c r="L90" s="853"/>
      <c r="M90" s="853"/>
      <c r="N90" s="853"/>
      <c r="O90" s="853"/>
      <c r="P90" s="853"/>
      <c r="Q90" s="853"/>
      <c r="R90" s="853"/>
      <c r="S90" s="853"/>
      <c r="T90" s="853"/>
      <c r="U90" s="853"/>
      <c r="V90" s="853"/>
      <c r="W90" s="853"/>
      <c r="X90" s="853"/>
      <c r="Y90" s="853"/>
      <c r="Z90" s="853"/>
      <c r="AA90" s="853"/>
      <c r="AB90" s="853"/>
      <c r="AC90" s="853"/>
      <c r="AD90" s="853"/>
      <c r="AE90" s="853"/>
      <c r="AF90" s="853"/>
      <c r="AG90" s="853"/>
      <c r="AH90" s="853"/>
      <c r="AI90" s="853"/>
      <c r="AJ90" s="853"/>
      <c r="AK90" s="854"/>
      <c r="AL90" s="167"/>
      <c r="AM90" s="810" t="str">
        <f>IF(AI58="該当", "！この区分（４項目）から２つ以上の取組が選択されていません。",  "！この区分（４項目）から１つ以上の取組が選択されていません。")</f>
        <v>！この区分（４項目）から１つ以上の取組が選択されていません。</v>
      </c>
      <c r="AN90" s="811"/>
      <c r="AO90" s="811"/>
      <c r="AP90" s="811"/>
      <c r="AQ90" s="811"/>
      <c r="AR90" s="811"/>
      <c r="AS90" s="811"/>
      <c r="AT90" s="811"/>
      <c r="AU90" s="811"/>
      <c r="AV90" s="811"/>
      <c r="AW90" s="811"/>
      <c r="AX90" s="812"/>
      <c r="AY90" s="19"/>
      <c r="AZ90" s="13"/>
      <c r="BA90" s="867">
        <f>COUNTIF(E90:F93, "✓")+COUNTIF(E90:F93, "誓約")</f>
        <v>0</v>
      </c>
    </row>
    <row r="91" spans="1:53" ht="27.75" customHeight="1" thickBot="1">
      <c r="A91" s="18"/>
      <c r="B91" s="670"/>
      <c r="C91" s="711"/>
      <c r="D91" s="876"/>
      <c r="E91" s="868"/>
      <c r="F91" s="869"/>
      <c r="G91" s="852" t="s">
        <v>2260</v>
      </c>
      <c r="H91" s="853"/>
      <c r="I91" s="853"/>
      <c r="J91" s="853"/>
      <c r="K91" s="853"/>
      <c r="L91" s="853"/>
      <c r="M91" s="853"/>
      <c r="N91" s="853"/>
      <c r="O91" s="853"/>
      <c r="P91" s="853"/>
      <c r="Q91" s="853"/>
      <c r="R91" s="853"/>
      <c r="S91" s="853"/>
      <c r="T91" s="853"/>
      <c r="U91" s="853"/>
      <c r="V91" s="853"/>
      <c r="W91" s="853"/>
      <c r="X91" s="853"/>
      <c r="Y91" s="853"/>
      <c r="Z91" s="853"/>
      <c r="AA91" s="853"/>
      <c r="AB91" s="853"/>
      <c r="AC91" s="853"/>
      <c r="AD91" s="853"/>
      <c r="AE91" s="853"/>
      <c r="AF91" s="853"/>
      <c r="AG91" s="853"/>
      <c r="AH91" s="853"/>
      <c r="AI91" s="853"/>
      <c r="AJ91" s="853"/>
      <c r="AK91" s="854"/>
      <c r="AL91" s="19"/>
      <c r="AM91" s="813"/>
      <c r="AN91" s="814"/>
      <c r="AO91" s="814"/>
      <c r="AP91" s="814"/>
      <c r="AQ91" s="814"/>
      <c r="AR91" s="814"/>
      <c r="AS91" s="814"/>
      <c r="AT91" s="814"/>
      <c r="AU91" s="814"/>
      <c r="AV91" s="814"/>
      <c r="AW91" s="814"/>
      <c r="AX91" s="815"/>
      <c r="AY91" s="160"/>
      <c r="AZ91" s="166"/>
      <c r="BA91" s="867"/>
    </row>
    <row r="92" spans="1:53" ht="15" customHeight="1">
      <c r="A92" s="18"/>
      <c r="B92" s="670"/>
      <c r="C92" s="711"/>
      <c r="D92" s="876"/>
      <c r="E92" s="868"/>
      <c r="F92" s="869"/>
      <c r="G92" s="852" t="s">
        <v>2255</v>
      </c>
      <c r="H92" s="853"/>
      <c r="I92" s="853"/>
      <c r="J92" s="853"/>
      <c r="K92" s="853"/>
      <c r="L92" s="853"/>
      <c r="M92" s="853"/>
      <c r="N92" s="853"/>
      <c r="O92" s="853"/>
      <c r="P92" s="853"/>
      <c r="Q92" s="853"/>
      <c r="R92" s="853"/>
      <c r="S92" s="853"/>
      <c r="T92" s="853"/>
      <c r="U92" s="853"/>
      <c r="V92" s="853"/>
      <c r="W92" s="853"/>
      <c r="X92" s="853"/>
      <c r="Y92" s="853"/>
      <c r="Z92" s="853"/>
      <c r="AA92" s="853"/>
      <c r="AB92" s="853"/>
      <c r="AC92" s="853"/>
      <c r="AD92" s="853"/>
      <c r="AE92" s="853"/>
      <c r="AF92" s="853"/>
      <c r="AG92" s="853"/>
      <c r="AH92" s="853"/>
      <c r="AI92" s="853"/>
      <c r="AJ92" s="853"/>
      <c r="AK92" s="854"/>
      <c r="AL92" s="19"/>
      <c r="AM92" s="536"/>
      <c r="AN92" s="536"/>
      <c r="AO92" s="536"/>
      <c r="AP92" s="536"/>
      <c r="AQ92" s="536"/>
      <c r="AR92" s="536"/>
      <c r="AS92" s="536"/>
      <c r="AT92" s="536"/>
      <c r="AU92" s="536"/>
      <c r="AV92" s="536"/>
      <c r="AW92" s="536"/>
      <c r="AX92" s="536"/>
      <c r="AY92" s="160"/>
      <c r="AZ92" s="166"/>
      <c r="BA92" s="867"/>
    </row>
    <row r="93" spans="1:53" ht="15" customHeight="1" thickBot="1">
      <c r="A93" s="18"/>
      <c r="B93" s="848"/>
      <c r="C93" s="849"/>
      <c r="D93" s="877"/>
      <c r="E93" s="872"/>
      <c r="F93" s="873"/>
      <c r="G93" s="854" t="s">
        <v>2256</v>
      </c>
      <c r="H93" s="886"/>
      <c r="I93" s="886"/>
      <c r="J93" s="886"/>
      <c r="K93" s="886"/>
      <c r="L93" s="886"/>
      <c r="M93" s="886"/>
      <c r="N93" s="886"/>
      <c r="O93" s="886"/>
      <c r="P93" s="886"/>
      <c r="Q93" s="886"/>
      <c r="R93" s="886"/>
      <c r="S93" s="886"/>
      <c r="T93" s="886"/>
      <c r="U93" s="886"/>
      <c r="V93" s="886"/>
      <c r="W93" s="886"/>
      <c r="X93" s="886"/>
      <c r="Y93" s="886"/>
      <c r="Z93" s="886"/>
      <c r="AA93" s="886"/>
      <c r="AB93" s="886"/>
      <c r="AC93" s="886"/>
      <c r="AD93" s="886"/>
      <c r="AE93" s="886"/>
      <c r="AF93" s="886"/>
      <c r="AG93" s="886"/>
      <c r="AH93" s="886"/>
      <c r="AI93" s="886"/>
      <c r="AJ93" s="886"/>
      <c r="AK93" s="886"/>
      <c r="AL93" s="18"/>
      <c r="AM93" s="536"/>
      <c r="AN93" s="536"/>
      <c r="AO93" s="536"/>
      <c r="AP93" s="536"/>
      <c r="AQ93" s="536"/>
      <c r="AR93" s="536"/>
      <c r="AS93" s="536"/>
      <c r="AT93" s="536"/>
      <c r="AU93" s="536"/>
      <c r="AV93" s="536"/>
      <c r="AW93" s="536"/>
      <c r="AX93" s="536"/>
      <c r="AY93" s="18"/>
      <c r="BA93" s="867"/>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399999999999999" customHeight="1" thickBot="1">
      <c r="A95" s="167"/>
      <c r="B95" s="541" t="s">
        <v>92</v>
      </c>
      <c r="C95" s="542"/>
      <c r="D95" s="542"/>
      <c r="E95" s="542"/>
      <c r="F95" s="542"/>
      <c r="G95" s="542"/>
      <c r="H95" s="542"/>
      <c r="I95" s="542"/>
      <c r="J95" s="542"/>
      <c r="K95" s="542"/>
      <c r="L95" s="542"/>
      <c r="M95" s="542"/>
      <c r="N95" s="542"/>
      <c r="O95" s="542"/>
      <c r="P95" s="542"/>
      <c r="Q95" s="542"/>
      <c r="R95" s="542"/>
      <c r="S95" s="542"/>
      <c r="T95" s="542"/>
      <c r="U95" s="542"/>
      <c r="V95" s="542"/>
      <c r="W95" s="542"/>
      <c r="X95" s="542"/>
      <c r="Y95" s="542"/>
      <c r="Z95" s="542"/>
      <c r="AA95" s="542"/>
      <c r="AB95" s="542"/>
      <c r="AC95" s="542"/>
      <c r="AD95" s="542"/>
      <c r="AE95" s="542"/>
      <c r="AF95" s="542"/>
      <c r="AG95" s="542"/>
      <c r="AH95" s="542"/>
      <c r="AI95" s="542"/>
      <c r="AJ95" s="542"/>
      <c r="AK95" s="542"/>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52</v>
      </c>
      <c r="C96" s="833" t="s">
        <v>2189</v>
      </c>
      <c r="D96" s="833"/>
      <c r="E96" s="833"/>
      <c r="F96" s="833"/>
      <c r="G96" s="833"/>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905"/>
      <c r="AK96" s="526" t="str">
        <f>IF($AI58="該当",IF(OR($F97="✓",$F98="✓"),"○","×"),"×")</f>
        <v>×</v>
      </c>
      <c r="AL96" s="18"/>
      <c r="AY96" s="169"/>
    </row>
    <row r="97" spans="1:56" s="169" customFormat="1" ht="30.6" customHeight="1">
      <c r="A97" s="167"/>
      <c r="B97" s="906" t="s">
        <v>94</v>
      </c>
      <c r="C97" s="907"/>
      <c r="D97" s="907"/>
      <c r="E97" s="908" t="b">
        <v>0</v>
      </c>
      <c r="F97" s="587"/>
      <c r="G97" s="912" t="s">
        <v>2261</v>
      </c>
      <c r="H97" s="912"/>
      <c r="I97" s="912"/>
      <c r="J97" s="912"/>
      <c r="K97" s="912"/>
      <c r="L97" s="912"/>
      <c r="M97" s="912"/>
      <c r="N97" s="912"/>
      <c r="O97" s="912"/>
      <c r="P97" s="912"/>
      <c r="Q97" s="912"/>
      <c r="R97" s="912"/>
      <c r="S97" s="912"/>
      <c r="T97" s="912"/>
      <c r="U97" s="912"/>
      <c r="V97" s="912"/>
      <c r="W97" s="912"/>
      <c r="X97" s="912"/>
      <c r="Y97" s="912"/>
      <c r="Z97" s="912"/>
      <c r="AA97" s="912"/>
      <c r="AB97" s="912"/>
      <c r="AC97" s="912"/>
      <c r="AD97" s="912"/>
      <c r="AE97" s="912"/>
      <c r="AF97" s="912"/>
      <c r="AG97" s="912"/>
      <c r="AH97" s="912"/>
      <c r="AI97" s="912"/>
      <c r="AJ97" s="912"/>
      <c r="AK97" s="913"/>
      <c r="AL97" s="19"/>
      <c r="AM97" s="914" t="s">
        <v>93</v>
      </c>
      <c r="AN97" s="915"/>
      <c r="AO97" s="915"/>
      <c r="AP97" s="915"/>
      <c r="AQ97" s="915"/>
      <c r="AR97" s="915"/>
      <c r="AS97" s="915"/>
      <c r="AT97" s="915"/>
      <c r="AU97" s="915"/>
      <c r="AV97" s="915"/>
      <c r="AW97" s="915"/>
      <c r="AX97" s="916"/>
    </row>
    <row r="98" spans="1:56" s="169" customFormat="1" ht="22.95" customHeight="1" thickBot="1">
      <c r="A98" s="167"/>
      <c r="B98" s="909"/>
      <c r="C98" s="910"/>
      <c r="D98" s="910"/>
      <c r="E98" s="911" t="b">
        <v>0</v>
      </c>
      <c r="F98" s="588"/>
      <c r="G98" s="920" t="s">
        <v>95</v>
      </c>
      <c r="H98" s="920"/>
      <c r="I98" s="920"/>
      <c r="J98" s="920"/>
      <c r="K98" s="920"/>
      <c r="L98" s="920"/>
      <c r="M98" s="920"/>
      <c r="N98" s="920"/>
      <c r="O98" s="920"/>
      <c r="P98" s="920"/>
      <c r="Q98" s="920"/>
      <c r="R98" s="920"/>
      <c r="S98" s="920"/>
      <c r="T98" s="920"/>
      <c r="U98" s="920"/>
      <c r="V98" s="920"/>
      <c r="W98" s="920"/>
      <c r="X98" s="920"/>
      <c r="Y98" s="920"/>
      <c r="Z98" s="920"/>
      <c r="AA98" s="920"/>
      <c r="AB98" s="920"/>
      <c r="AC98" s="920"/>
      <c r="AD98" s="920"/>
      <c r="AE98" s="920"/>
      <c r="AF98" s="920"/>
      <c r="AG98" s="920"/>
      <c r="AH98" s="920"/>
      <c r="AI98" s="920"/>
      <c r="AJ98" s="920"/>
      <c r="AK98" s="921"/>
      <c r="AL98" s="18"/>
      <c r="AM98" s="917"/>
      <c r="AN98" s="918"/>
      <c r="AO98" s="918"/>
      <c r="AP98" s="918"/>
      <c r="AQ98" s="918"/>
      <c r="AR98" s="918"/>
      <c r="AS98" s="918"/>
      <c r="AT98" s="918"/>
      <c r="AU98" s="918"/>
      <c r="AV98" s="918"/>
      <c r="AW98" s="918"/>
      <c r="AX98" s="919"/>
      <c r="AY98" s="167"/>
      <c r="BA98" s="174"/>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4"/>
    </row>
    <row r="100" spans="1:56" s="24" customFormat="1" ht="19.95" customHeight="1">
      <c r="A100" s="58"/>
      <c r="B100" s="149" t="s">
        <v>2496</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922"/>
      <c r="AN100" s="922"/>
      <c r="AO100" s="922"/>
      <c r="AP100" s="922"/>
      <c r="AQ100" s="922"/>
      <c r="AR100" s="922"/>
      <c r="AS100" s="922"/>
      <c r="AT100" s="922"/>
      <c r="AU100" s="922"/>
      <c r="AV100" s="922"/>
      <c r="AW100" s="922"/>
      <c r="AX100" s="922"/>
      <c r="AY100" s="922"/>
      <c r="BA100" s="890" t="s">
        <v>60</v>
      </c>
      <c r="BB100" s="890"/>
      <c r="BC100" s="890"/>
      <c r="BD100" s="890"/>
    </row>
    <row r="101" spans="1:56" ht="27.6"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79"/>
      <c r="AM101" s="922"/>
      <c r="AN101" s="922"/>
      <c r="AO101" s="922"/>
      <c r="AP101" s="922"/>
      <c r="AQ101" s="922"/>
      <c r="AR101" s="922"/>
      <c r="AS101" s="922"/>
      <c r="AT101" s="922"/>
      <c r="AU101" s="922"/>
      <c r="AV101" s="922"/>
      <c r="AW101" s="922"/>
      <c r="AX101" s="922"/>
      <c r="AY101" s="922"/>
    </row>
    <row r="102" spans="1:56" ht="229.5" customHeight="1" thickBot="1">
      <c r="A102" s="82"/>
      <c r="B102" s="891" t="s">
        <v>2489</v>
      </c>
      <c r="C102" s="892"/>
      <c r="D102" s="892"/>
      <c r="E102" s="892"/>
      <c r="F102" s="892"/>
      <c r="G102" s="892"/>
      <c r="H102" s="892"/>
      <c r="I102" s="892"/>
      <c r="J102" s="892"/>
      <c r="K102" s="892"/>
      <c r="L102" s="892"/>
      <c r="M102" s="892"/>
      <c r="N102" s="892"/>
      <c r="O102" s="892"/>
      <c r="P102" s="892"/>
      <c r="Q102" s="892"/>
      <c r="R102" s="892"/>
      <c r="S102" s="892"/>
      <c r="T102" s="892"/>
      <c r="U102" s="892"/>
      <c r="V102" s="892"/>
      <c r="W102" s="892"/>
      <c r="X102" s="892"/>
      <c r="Y102" s="892"/>
      <c r="Z102" s="892"/>
      <c r="AA102" s="892"/>
      <c r="AB102" s="892"/>
      <c r="AC102" s="892"/>
      <c r="AD102" s="892"/>
      <c r="AE102" s="892"/>
      <c r="AF102" s="892"/>
      <c r="AG102" s="892"/>
      <c r="AH102" s="892"/>
      <c r="AI102" s="892"/>
      <c r="AJ102" s="892"/>
      <c r="AK102" s="531" t="str">
        <f>IF(H6="","",IF(AND(OR('別紙様式2-2（個票（４、５月））'!AL10="○",'別紙様式2-2（個票（４、５月））'!AL10=""),OR('別紙様式2-3（個票（６月以降））'!AL10="○",'別紙様式2-3（個票（６月以降））'!AL10="")),"○","×"))</f>
        <v/>
      </c>
      <c r="AR102" s="86"/>
    </row>
    <row r="103" spans="1:56" s="13" customFormat="1" ht="7.2"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79"/>
      <c r="AL103" s="19"/>
      <c r="AM103" s="55"/>
      <c r="AN103" s="55"/>
      <c r="AO103" s="55"/>
      <c r="AP103" s="55"/>
      <c r="AQ103" s="55"/>
      <c r="AR103" s="55"/>
      <c r="AS103" s="55"/>
      <c r="AT103" s="55"/>
      <c r="AU103" s="55"/>
      <c r="AV103" s="55"/>
      <c r="AW103" s="55"/>
      <c r="AX103" s="55"/>
      <c r="AY103" s="55"/>
      <c r="BA103" s="278"/>
      <c r="BB103" s="278"/>
      <c r="BC103" s="278"/>
      <c r="BD103" s="278"/>
    </row>
    <row r="104" spans="1:56" s="13" customFormat="1" ht="20.100000000000001" customHeight="1" thickBot="1">
      <c r="A104" s="19"/>
      <c r="B104" s="569" t="s">
        <v>2497</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79"/>
      <c r="AL104" s="19"/>
      <c r="AM104" s="55"/>
      <c r="AN104" s="55"/>
      <c r="AO104" s="55"/>
      <c r="AP104" s="55"/>
      <c r="AQ104" s="55"/>
      <c r="AR104" s="55"/>
      <c r="AS104" s="55"/>
      <c r="AT104" s="55"/>
      <c r="AU104" s="55"/>
      <c r="AV104" s="55"/>
      <c r="AW104" s="55"/>
      <c r="AX104" s="55"/>
      <c r="AY104" s="55"/>
      <c r="BA104" s="278"/>
      <c r="BB104" s="278"/>
      <c r="BC104" s="278"/>
      <c r="BD104" s="278"/>
    </row>
    <row r="105" spans="1:56" s="13" customFormat="1" ht="24.9" customHeight="1" thickBot="1">
      <c r="A105" s="567"/>
      <c r="B105" s="523" t="s">
        <v>2498</v>
      </c>
      <c r="C105" s="953" t="s">
        <v>2499</v>
      </c>
      <c r="D105" s="954"/>
      <c r="E105" s="954"/>
      <c r="F105" s="954"/>
      <c r="G105" s="954"/>
      <c r="H105" s="954"/>
      <c r="I105" s="954"/>
      <c r="J105" s="954"/>
      <c r="K105" s="954"/>
      <c r="L105" s="954"/>
      <c r="M105" s="954"/>
      <c r="N105" s="954"/>
      <c r="O105" s="954"/>
      <c r="P105" s="954"/>
      <c r="Q105" s="954"/>
      <c r="R105" s="954"/>
      <c r="S105" s="954"/>
      <c r="T105" s="954"/>
      <c r="U105" s="954"/>
      <c r="V105" s="826"/>
      <c r="W105" s="903">
        <f>'別紙様式2-3（個票（６月以降））'!BO10</f>
        <v>0</v>
      </c>
      <c r="X105" s="904"/>
      <c r="Y105" s="904"/>
      <c r="Z105" s="904"/>
      <c r="AA105" s="568" t="s">
        <v>48</v>
      </c>
      <c r="AB105" s="79" t="s">
        <v>50</v>
      </c>
      <c r="AC105" s="804" t="str">
        <f>IF(H6="", "", IFERROR(IF(W106&gt;=W105,"○","×"),""))</f>
        <v/>
      </c>
      <c r="AD105" s="79"/>
      <c r="AE105" s="79"/>
      <c r="AF105" s="79"/>
      <c r="AG105" s="79"/>
      <c r="AH105" s="79"/>
      <c r="AI105" s="79"/>
      <c r="AJ105" s="79"/>
      <c r="AK105" s="279"/>
      <c r="AL105" s="19"/>
      <c r="AM105" s="55"/>
      <c r="AN105" s="55"/>
      <c r="AO105" s="55"/>
      <c r="AP105" s="55"/>
      <c r="AQ105" s="55"/>
      <c r="AR105" s="55"/>
      <c r="AS105" s="55"/>
      <c r="AT105" s="55"/>
      <c r="AU105" s="55"/>
      <c r="AV105" s="55"/>
      <c r="AW105" s="55"/>
      <c r="AX105" s="55"/>
      <c r="AY105" s="55"/>
      <c r="BA105" s="278"/>
      <c r="BB105" s="278"/>
      <c r="BC105" s="278"/>
      <c r="BD105" s="278"/>
    </row>
    <row r="106" spans="1:56" s="13" customFormat="1" ht="24.9" customHeight="1" thickBot="1">
      <c r="A106" s="567"/>
      <c r="B106" s="523" t="s">
        <v>2500</v>
      </c>
      <c r="C106" s="798" t="s">
        <v>2506</v>
      </c>
      <c r="D106" s="952"/>
      <c r="E106" s="952"/>
      <c r="F106" s="952"/>
      <c r="G106" s="952"/>
      <c r="H106" s="952"/>
      <c r="I106" s="952"/>
      <c r="J106" s="952"/>
      <c r="K106" s="952"/>
      <c r="L106" s="952"/>
      <c r="M106" s="952"/>
      <c r="N106" s="952"/>
      <c r="O106" s="952"/>
      <c r="P106" s="952"/>
      <c r="Q106" s="952"/>
      <c r="R106" s="952"/>
      <c r="S106" s="952"/>
      <c r="T106" s="952"/>
      <c r="U106" s="952"/>
      <c r="V106" s="781"/>
      <c r="W106" s="923">
        <f>T32</f>
        <v>0</v>
      </c>
      <c r="X106" s="923"/>
      <c r="Y106" s="923"/>
      <c r="Z106" s="923"/>
      <c r="AA106" s="568" t="s">
        <v>48</v>
      </c>
      <c r="AB106" s="79" t="s">
        <v>50</v>
      </c>
      <c r="AC106" s="828"/>
      <c r="AD106" s="79"/>
      <c r="AE106" s="79"/>
      <c r="AF106" s="79"/>
      <c r="AG106" s="79"/>
      <c r="AH106" s="79"/>
      <c r="AI106" s="79"/>
      <c r="AJ106" s="79"/>
      <c r="AK106" s="279"/>
      <c r="AL106" s="19"/>
      <c r="AM106" s="55"/>
      <c r="AN106" s="55"/>
      <c r="AO106" s="55"/>
      <c r="AP106" s="55"/>
      <c r="AQ106" s="55"/>
      <c r="AR106" s="55"/>
      <c r="AS106" s="55"/>
      <c r="AT106" s="55"/>
      <c r="AU106" s="55"/>
      <c r="AV106" s="55"/>
      <c r="AW106" s="55"/>
      <c r="AX106" s="55"/>
      <c r="AY106" s="55"/>
      <c r="BA106" s="278"/>
      <c r="BB106" s="278"/>
      <c r="BC106" s="278"/>
      <c r="BD106" s="278"/>
    </row>
    <row r="107" spans="1:56" s="13" customFormat="1" ht="7.2"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79"/>
      <c r="AL107" s="19"/>
      <c r="AM107" s="55"/>
      <c r="AN107" s="55"/>
      <c r="AO107" s="55"/>
      <c r="AP107" s="55"/>
      <c r="AQ107" s="55"/>
      <c r="AR107" s="55"/>
      <c r="AS107" s="55"/>
      <c r="AT107" s="55"/>
      <c r="AU107" s="55"/>
      <c r="AV107" s="55"/>
      <c r="AW107" s="55"/>
      <c r="AX107" s="55"/>
      <c r="AY107" s="55"/>
      <c r="BA107" s="278"/>
      <c r="BB107" s="278"/>
      <c r="BC107" s="278"/>
      <c r="BD107" s="278"/>
    </row>
    <row r="108" spans="1:56" s="13" customFormat="1" ht="19.2"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5"/>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25" t="s">
        <v>98</v>
      </c>
      <c r="C110" s="539"/>
      <c r="D110" s="539"/>
      <c r="E110" s="539"/>
      <c r="F110" s="539"/>
      <c r="G110" s="539"/>
      <c r="H110" s="539"/>
      <c r="I110" s="539"/>
      <c r="J110" s="539"/>
      <c r="K110" s="539"/>
      <c r="L110" s="539"/>
      <c r="M110" s="539"/>
      <c r="N110" s="539"/>
      <c r="O110" s="539"/>
      <c r="P110" s="539"/>
      <c r="Q110" s="539"/>
      <c r="R110" s="539"/>
      <c r="S110" s="539"/>
      <c r="T110" s="539"/>
      <c r="U110" s="539"/>
      <c r="V110" s="539"/>
      <c r="W110" s="539"/>
      <c r="X110" s="539"/>
      <c r="Y110" s="539"/>
      <c r="Z110" s="539"/>
      <c r="AA110" s="539"/>
      <c r="AB110" s="539"/>
      <c r="AC110" s="539"/>
      <c r="AD110" s="540"/>
      <c r="AE110" s="893" t="s">
        <v>99</v>
      </c>
      <c r="AF110" s="894"/>
      <c r="AG110" s="894"/>
      <c r="AH110" s="894"/>
      <c r="AI110" s="894"/>
      <c r="AJ110" s="895"/>
      <c r="AK110" s="531" t="str">
        <f>IF(H6="", "", IF(AND(BA111=TRUE,OR(BA112=TRUE),BA113=TRUE,BA114=TRUE, BA116=TRUE, BA115=TRUE,BA117=TRUE),"○","×"))</f>
        <v/>
      </c>
      <c r="AL110" s="18"/>
      <c r="AM110" s="896" t="s">
        <v>100</v>
      </c>
      <c r="AN110" s="897"/>
      <c r="AO110" s="897"/>
      <c r="AP110" s="897"/>
      <c r="AQ110" s="897"/>
      <c r="AR110" s="897"/>
      <c r="AS110" s="897"/>
      <c r="AT110" s="897"/>
      <c r="AU110" s="897"/>
      <c r="AV110" s="897"/>
      <c r="AW110" s="897"/>
      <c r="AX110" s="897"/>
      <c r="AY110" s="898"/>
      <c r="BA110" s="176"/>
    </row>
    <row r="111" spans="1:56" s="13" customFormat="1" ht="48.75" customHeight="1">
      <c r="A111" s="153"/>
      <c r="B111" s="177"/>
      <c r="C111" s="899" t="s">
        <v>2209</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98"/>
      <c r="AE111" s="900" t="s">
        <v>101</v>
      </c>
      <c r="AF111" s="901"/>
      <c r="AG111" s="901"/>
      <c r="AH111" s="901"/>
      <c r="AI111" s="901"/>
      <c r="AJ111" s="901"/>
      <c r="AK111" s="902"/>
      <c r="AL111" s="18"/>
      <c r="AM111" s="19"/>
      <c r="AN111" s="536"/>
      <c r="AO111" s="536"/>
      <c r="AP111" s="536"/>
      <c r="AQ111" s="536"/>
      <c r="AR111" s="536"/>
      <c r="AS111" s="536"/>
      <c r="AT111" s="536"/>
      <c r="AU111" s="536"/>
      <c r="AV111" s="536"/>
      <c r="AW111" s="19"/>
      <c r="AX111" s="19"/>
      <c r="AY111" s="19"/>
      <c r="AZ111" s="155"/>
      <c r="BA111" s="178" t="b">
        <v>0</v>
      </c>
      <c r="BB111" s="179"/>
    </row>
    <row r="112" spans="1:56" s="13" customFormat="1" ht="37.200000000000003" customHeight="1">
      <c r="A112" s="19"/>
      <c r="B112" s="180"/>
      <c r="C112" s="899" t="s">
        <v>2263</v>
      </c>
      <c r="D112" s="782"/>
      <c r="E112" s="782"/>
      <c r="F112" s="782"/>
      <c r="G112" s="782"/>
      <c r="H112" s="782"/>
      <c r="I112" s="782"/>
      <c r="J112" s="782"/>
      <c r="K112" s="782"/>
      <c r="L112" s="782"/>
      <c r="M112" s="782"/>
      <c r="N112" s="782"/>
      <c r="O112" s="782"/>
      <c r="P112" s="782"/>
      <c r="Q112" s="782"/>
      <c r="R112" s="782"/>
      <c r="S112" s="782"/>
      <c r="T112" s="782"/>
      <c r="U112" s="782"/>
      <c r="V112" s="782"/>
      <c r="W112" s="782"/>
      <c r="X112" s="782"/>
      <c r="Y112" s="782"/>
      <c r="Z112" s="782"/>
      <c r="AA112" s="782"/>
      <c r="AB112" s="782"/>
      <c r="AC112" s="782"/>
      <c r="AD112" s="798"/>
      <c r="AE112" s="900" t="s">
        <v>101</v>
      </c>
      <c r="AF112" s="901"/>
      <c r="AG112" s="901"/>
      <c r="AH112" s="901"/>
      <c r="AI112" s="901"/>
      <c r="AJ112" s="901"/>
      <c r="AK112" s="901"/>
      <c r="AL112" s="18"/>
      <c r="AM112" s="19"/>
      <c r="AN112" s="536"/>
      <c r="AO112" s="536"/>
      <c r="AP112" s="536"/>
      <c r="AQ112" s="536"/>
      <c r="AR112" s="536"/>
      <c r="AS112" s="536"/>
      <c r="AT112" s="536"/>
      <c r="AU112" s="536"/>
      <c r="AV112" s="536"/>
      <c r="AW112" s="19"/>
      <c r="AX112" s="19"/>
      <c r="AY112" s="19"/>
      <c r="BA112" s="154" t="b">
        <v>0</v>
      </c>
    </row>
    <row r="113" spans="1:53" s="13" customFormat="1" ht="36.6" customHeight="1">
      <c r="A113" s="19"/>
      <c r="B113" s="180"/>
      <c r="C113" s="924" t="s">
        <v>2191</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5"/>
      <c r="AA113" s="925"/>
      <c r="AB113" s="925"/>
      <c r="AC113" s="925"/>
      <c r="AD113" s="926"/>
      <c r="AE113" s="900" t="s">
        <v>102</v>
      </c>
      <c r="AF113" s="901"/>
      <c r="AG113" s="901"/>
      <c r="AH113" s="901"/>
      <c r="AI113" s="901"/>
      <c r="AJ113" s="901"/>
      <c r="AK113" s="901"/>
      <c r="AL113" s="18"/>
      <c r="AM113" s="19"/>
      <c r="AN113" s="19"/>
      <c r="AO113" s="19"/>
      <c r="AP113" s="536"/>
      <c r="AQ113" s="19"/>
      <c r="AR113" s="19"/>
      <c r="AS113" s="19"/>
      <c r="AT113" s="19"/>
      <c r="AU113" s="19"/>
      <c r="AV113" s="19"/>
      <c r="AW113" s="19"/>
      <c r="AX113" s="19"/>
      <c r="AY113" s="19"/>
      <c r="BA113" s="154" t="b">
        <v>0</v>
      </c>
    </row>
    <row r="114" spans="1:53" s="13" customFormat="1" ht="28.95" customHeight="1">
      <c r="A114" s="19"/>
      <c r="B114" s="180"/>
      <c r="C114" s="924" t="s">
        <v>103</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5"/>
      <c r="AA114" s="925"/>
      <c r="AB114" s="925"/>
      <c r="AC114" s="925"/>
      <c r="AD114" s="926"/>
      <c r="AE114" s="932" t="s">
        <v>104</v>
      </c>
      <c r="AF114" s="933"/>
      <c r="AG114" s="933"/>
      <c r="AH114" s="933"/>
      <c r="AI114" s="933"/>
      <c r="AJ114" s="933"/>
      <c r="AK114" s="933"/>
      <c r="AL114" s="18"/>
      <c r="AM114" s="19"/>
      <c r="AN114" s="181"/>
      <c r="AO114" s="181"/>
      <c r="AP114" s="181"/>
      <c r="AQ114" s="19"/>
      <c r="AR114" s="19"/>
      <c r="AS114" s="19"/>
      <c r="AT114" s="19"/>
      <c r="AU114" s="19"/>
      <c r="AV114" s="19"/>
      <c r="AW114" s="19"/>
      <c r="AX114" s="19"/>
      <c r="AY114" s="19"/>
      <c r="BA114" s="154" t="b">
        <v>0</v>
      </c>
    </row>
    <row r="115" spans="1:53" s="13" customFormat="1" ht="22.2" customHeight="1">
      <c r="A115" s="19"/>
      <c r="B115" s="180"/>
      <c r="C115" s="924" t="s">
        <v>105</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5"/>
      <c r="AA115" s="925"/>
      <c r="AB115" s="925"/>
      <c r="AC115" s="925"/>
      <c r="AD115" s="926"/>
      <c r="AE115" s="900" t="s">
        <v>106</v>
      </c>
      <c r="AF115" s="901"/>
      <c r="AG115" s="901"/>
      <c r="AH115" s="901"/>
      <c r="AI115" s="901"/>
      <c r="AJ115" s="901"/>
      <c r="AK115" s="901"/>
      <c r="AL115" s="18"/>
      <c r="AM115" s="19"/>
      <c r="AN115" s="181"/>
      <c r="AO115" s="181"/>
      <c r="AP115" s="181"/>
      <c r="AQ115" s="19"/>
      <c r="AR115" s="19"/>
      <c r="AS115" s="19"/>
      <c r="AT115" s="19"/>
      <c r="AU115" s="19"/>
      <c r="AV115" s="19"/>
      <c r="AW115" s="19"/>
      <c r="AX115" s="19"/>
      <c r="AY115" s="19"/>
      <c r="BA115" s="154" t="b">
        <v>0</v>
      </c>
    </row>
    <row r="116" spans="1:53" s="13" customFormat="1" ht="22.2" customHeight="1">
      <c r="A116" s="19"/>
      <c r="B116" s="182"/>
      <c r="C116" s="927" t="s">
        <v>107</v>
      </c>
      <c r="D116" s="928"/>
      <c r="E116" s="928"/>
      <c r="F116" s="928"/>
      <c r="G116" s="928"/>
      <c r="H116" s="928"/>
      <c r="I116" s="928"/>
      <c r="J116" s="928"/>
      <c r="K116" s="928"/>
      <c r="L116" s="928"/>
      <c r="M116" s="928"/>
      <c r="N116" s="928"/>
      <c r="O116" s="928"/>
      <c r="P116" s="928"/>
      <c r="Q116" s="928"/>
      <c r="R116" s="928"/>
      <c r="S116" s="928"/>
      <c r="T116" s="928"/>
      <c r="U116" s="928"/>
      <c r="V116" s="928"/>
      <c r="W116" s="928"/>
      <c r="X116" s="928"/>
      <c r="Y116" s="928"/>
      <c r="Z116" s="928"/>
      <c r="AA116" s="928"/>
      <c r="AB116" s="928"/>
      <c r="AC116" s="928"/>
      <c r="AD116" s="929"/>
      <c r="AE116" s="930" t="s">
        <v>108</v>
      </c>
      <c r="AF116" s="931"/>
      <c r="AG116" s="931"/>
      <c r="AH116" s="931"/>
      <c r="AI116" s="931"/>
      <c r="AJ116" s="931"/>
      <c r="AK116" s="931"/>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3"/>
      <c r="C117" s="924" t="s">
        <v>109</v>
      </c>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25"/>
      <c r="Z117" s="925"/>
      <c r="AA117" s="925"/>
      <c r="AB117" s="925"/>
      <c r="AC117" s="925"/>
      <c r="AD117" s="926"/>
      <c r="AE117" s="932" t="s">
        <v>104</v>
      </c>
      <c r="AF117" s="933"/>
      <c r="AG117" s="933"/>
      <c r="AH117" s="933"/>
      <c r="AI117" s="933"/>
      <c r="AJ117" s="933"/>
      <c r="AK117" s="933"/>
      <c r="AL117" s="18"/>
      <c r="AM117" s="19"/>
      <c r="AN117" s="19"/>
      <c r="AO117" s="19"/>
      <c r="AP117" s="19"/>
      <c r="AQ117" s="19"/>
      <c r="AR117" s="19"/>
      <c r="AS117" s="19"/>
      <c r="AT117" s="19"/>
      <c r="AU117" s="19"/>
      <c r="AV117" s="19"/>
      <c r="AW117" s="19"/>
      <c r="AX117" s="19"/>
      <c r="AY117" s="19"/>
      <c r="BA117" s="154" t="b">
        <v>0</v>
      </c>
    </row>
    <row r="118" spans="1:53" s="13" customFormat="1" ht="4.95"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4" t="s">
        <v>110</v>
      </c>
      <c r="C119" s="185" t="s">
        <v>111</v>
      </c>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4" t="s">
        <v>110</v>
      </c>
      <c r="C120" s="940" t="s">
        <v>2487</v>
      </c>
      <c r="D120" s="940"/>
      <c r="E120" s="940"/>
      <c r="F120" s="940"/>
      <c r="G120" s="940"/>
      <c r="H120" s="940"/>
      <c r="I120" s="940"/>
      <c r="J120" s="940"/>
      <c r="K120" s="940"/>
      <c r="L120" s="940"/>
      <c r="M120" s="940"/>
      <c r="N120" s="940"/>
      <c r="O120" s="940"/>
      <c r="P120" s="940"/>
      <c r="Q120" s="940"/>
      <c r="R120" s="940"/>
      <c r="S120" s="940"/>
      <c r="T120" s="940"/>
      <c r="U120" s="940"/>
      <c r="V120" s="940"/>
      <c r="W120" s="940"/>
      <c r="X120" s="940"/>
      <c r="Y120" s="940"/>
      <c r="Z120" s="940"/>
      <c r="AA120" s="940"/>
      <c r="AB120" s="940"/>
      <c r="AC120" s="940"/>
      <c r="AD120" s="940"/>
      <c r="AE120" s="940"/>
      <c r="AF120" s="940"/>
      <c r="AG120" s="940"/>
      <c r="AH120" s="940"/>
      <c r="AI120" s="940"/>
      <c r="AJ120" s="940"/>
      <c r="AK120" s="940"/>
      <c r="AL120" s="18"/>
      <c r="AM120" s="19"/>
      <c r="AN120" s="19"/>
      <c r="AO120" s="19"/>
      <c r="AP120" s="19"/>
      <c r="AQ120" s="19"/>
      <c r="AR120" s="19"/>
      <c r="AS120" s="19"/>
      <c r="AT120" s="19"/>
      <c r="AU120" s="19"/>
      <c r="AV120" s="19"/>
      <c r="AW120" s="19"/>
      <c r="AX120" s="19"/>
      <c r="AY120" s="19"/>
    </row>
    <row r="121" spans="1:53" s="13" customFormat="1" ht="5.4" customHeight="1" thickBot="1">
      <c r="A121" s="19"/>
      <c r="B121" s="184"/>
      <c r="C121" s="533"/>
      <c r="D121" s="533"/>
      <c r="E121" s="533"/>
      <c r="F121" s="533"/>
      <c r="G121" s="533"/>
      <c r="H121" s="533"/>
      <c r="I121" s="533"/>
      <c r="J121" s="533"/>
      <c r="K121" s="533"/>
      <c r="L121" s="533"/>
      <c r="M121" s="533"/>
      <c r="N121" s="533"/>
      <c r="O121" s="533"/>
      <c r="P121" s="533"/>
      <c r="Q121" s="533"/>
      <c r="R121" s="533"/>
      <c r="S121" s="533"/>
      <c r="T121" s="533"/>
      <c r="U121" s="533"/>
      <c r="V121" s="533"/>
      <c r="W121" s="533"/>
      <c r="X121" s="533"/>
      <c r="Y121" s="533"/>
      <c r="Z121" s="533"/>
      <c r="AA121" s="533"/>
      <c r="AB121" s="533"/>
      <c r="AC121" s="533"/>
      <c r="AD121" s="533"/>
      <c r="AE121" s="533"/>
      <c r="AF121" s="533"/>
      <c r="AG121" s="533"/>
      <c r="AH121" s="533"/>
      <c r="AI121" s="533"/>
      <c r="AJ121" s="533"/>
      <c r="AK121" s="533"/>
      <c r="AL121" s="18"/>
      <c r="AM121" s="19"/>
      <c r="AN121" s="19"/>
      <c r="AO121" s="19"/>
      <c r="AP121" s="19"/>
      <c r="AQ121" s="19"/>
      <c r="AR121" s="19"/>
      <c r="AS121" s="19"/>
      <c r="AT121" s="19"/>
      <c r="AU121" s="19"/>
      <c r="AV121" s="19"/>
      <c r="AW121" s="19"/>
      <c r="AX121" s="19"/>
      <c r="AY121" s="19"/>
    </row>
    <row r="122" spans="1:53" s="13" customFormat="1" ht="15.6" customHeight="1" thickBot="1">
      <c r="A122" s="19"/>
      <c r="B122" s="186"/>
      <c r="C122" s="187"/>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526" t="str">
        <f>IF(H6="", "", IF(COUNTA(E126,H126,K126)=3,"○","×"))</f>
        <v/>
      </c>
      <c r="AL122" s="18"/>
      <c r="AM122" s="19"/>
      <c r="AN122" s="19"/>
      <c r="AO122" s="19"/>
      <c r="AP122" s="19"/>
      <c r="AQ122" s="19"/>
      <c r="AR122" s="19"/>
      <c r="AS122" s="19"/>
      <c r="AT122" s="19"/>
      <c r="AU122" s="19"/>
      <c r="AV122" s="19"/>
      <c r="AW122" s="19"/>
      <c r="AX122" s="19"/>
      <c r="AY122" s="19"/>
    </row>
    <row r="123" spans="1:53" s="13" customFormat="1" ht="4.2"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88"/>
      <c r="AL123" s="18"/>
      <c r="AM123" s="19"/>
      <c r="AN123" s="19"/>
      <c r="AO123" s="19"/>
      <c r="AP123" s="19"/>
      <c r="AQ123" s="19"/>
      <c r="AR123" s="19"/>
      <c r="AS123" s="19"/>
      <c r="AT123" s="19"/>
      <c r="AU123" s="19"/>
      <c r="AV123" s="19"/>
      <c r="AW123" s="19"/>
      <c r="AX123" s="19"/>
      <c r="AY123" s="19"/>
    </row>
    <row r="124" spans="1:53" s="13" customFormat="1" ht="30" customHeight="1">
      <c r="A124" s="19"/>
      <c r="B124" s="101"/>
      <c r="C124" s="941" t="s">
        <v>112</v>
      </c>
      <c r="D124" s="941"/>
      <c r="E124" s="941"/>
      <c r="F124" s="941"/>
      <c r="G124" s="941"/>
      <c r="H124" s="941"/>
      <c r="I124" s="941"/>
      <c r="J124" s="941"/>
      <c r="K124" s="941"/>
      <c r="L124" s="941"/>
      <c r="M124" s="941"/>
      <c r="N124" s="941"/>
      <c r="O124" s="941"/>
      <c r="P124" s="941"/>
      <c r="Q124" s="941"/>
      <c r="R124" s="941"/>
      <c r="S124" s="941"/>
      <c r="T124" s="941"/>
      <c r="U124" s="941"/>
      <c r="V124" s="941"/>
      <c r="W124" s="941"/>
      <c r="X124" s="941"/>
      <c r="Y124" s="941"/>
      <c r="Z124" s="941"/>
      <c r="AA124" s="941"/>
      <c r="AB124" s="941"/>
      <c r="AC124" s="941"/>
      <c r="AD124" s="941"/>
      <c r="AE124" s="941"/>
      <c r="AF124" s="941"/>
      <c r="AG124" s="941"/>
      <c r="AH124" s="941"/>
      <c r="AI124" s="941"/>
      <c r="AJ124" s="941"/>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89" t="s">
        <v>113</v>
      </c>
      <c r="D126" s="189"/>
      <c r="E126" s="942"/>
      <c r="F126" s="943"/>
      <c r="G126" s="189" t="s">
        <v>114</v>
      </c>
      <c r="H126" s="942"/>
      <c r="I126" s="943"/>
      <c r="J126" s="189" t="s">
        <v>115</v>
      </c>
      <c r="K126" s="942"/>
      <c r="L126" s="943"/>
      <c r="M126" s="189" t="s">
        <v>116</v>
      </c>
      <c r="N126" s="15"/>
      <c r="O126" s="944" t="s">
        <v>40</v>
      </c>
      <c r="P126" s="944"/>
      <c r="Q126" s="944"/>
      <c r="R126" s="945" t="str">
        <f>IF(H6="","",H6)</f>
        <v/>
      </c>
      <c r="S126" s="945"/>
      <c r="T126" s="945"/>
      <c r="U126" s="945"/>
      <c r="V126" s="945"/>
      <c r="W126" s="945"/>
      <c r="X126" s="945"/>
      <c r="Y126" s="945"/>
      <c r="Z126" s="945"/>
      <c r="AA126" s="945"/>
      <c r="AB126" s="945"/>
      <c r="AC126" s="945"/>
      <c r="AD126" s="945"/>
      <c r="AE126" s="945"/>
      <c r="AF126" s="945"/>
      <c r="AG126" s="945"/>
      <c r="AH126" s="945"/>
      <c r="AI126" s="945"/>
      <c r="AJ126" s="190"/>
      <c r="AK126" s="191"/>
      <c r="AL126" s="192"/>
      <c r="AM126" s="18"/>
      <c r="AN126" s="18"/>
      <c r="AO126" s="18"/>
      <c r="AP126" s="18"/>
      <c r="AQ126" s="18"/>
      <c r="AR126" s="18"/>
      <c r="AS126" s="18"/>
      <c r="AT126" s="18"/>
      <c r="AU126" s="18"/>
      <c r="AV126" s="18"/>
      <c r="AW126" s="138"/>
      <c r="AX126" s="18"/>
      <c r="AY126" s="18"/>
      <c r="AZ126"/>
    </row>
    <row r="127" spans="1:53" s="13" customFormat="1" ht="14.4" customHeight="1">
      <c r="A127" s="18"/>
      <c r="B127" s="103"/>
      <c r="C127" s="193"/>
      <c r="D127" s="189"/>
      <c r="E127" s="189"/>
      <c r="F127" s="189"/>
      <c r="G127" s="189"/>
      <c r="H127" s="189"/>
      <c r="I127" s="189"/>
      <c r="J127" s="189"/>
      <c r="K127" s="189"/>
      <c r="L127" s="189"/>
      <c r="M127" s="189"/>
      <c r="N127" s="978" t="s">
        <v>117</v>
      </c>
      <c r="O127" s="978"/>
      <c r="P127" s="978"/>
      <c r="Q127" s="978"/>
      <c r="R127" s="934" t="s">
        <v>17</v>
      </c>
      <c r="S127" s="934"/>
      <c r="T127" s="935" t="str">
        <f>IF(基本情報入力シート!L20="", "", 基本情報入力シート!L20)</f>
        <v/>
      </c>
      <c r="U127" s="935"/>
      <c r="V127" s="935"/>
      <c r="W127" s="935"/>
      <c r="X127" s="935"/>
      <c r="Y127" s="936" t="s">
        <v>18</v>
      </c>
      <c r="Z127" s="936"/>
      <c r="AA127" s="935" t="str">
        <f>IF(基本情報入力シート!L21="", "", 基本情報入力シート!L21)</f>
        <v/>
      </c>
      <c r="AB127" s="935"/>
      <c r="AC127" s="935"/>
      <c r="AD127" s="935"/>
      <c r="AE127" s="935"/>
      <c r="AF127" s="935"/>
      <c r="AG127" s="935"/>
      <c r="AH127" s="935"/>
      <c r="AI127" s="935"/>
      <c r="AJ127" s="193"/>
      <c r="AK127" s="194"/>
      <c r="AL127" s="192"/>
      <c r="AM127" s="192"/>
      <c r="AN127" s="18"/>
      <c r="AO127" s="18"/>
      <c r="AP127" s="18"/>
      <c r="AQ127" s="18"/>
      <c r="AR127" s="18"/>
      <c r="AS127" s="18"/>
      <c r="AT127" s="18"/>
      <c r="AU127" s="18"/>
      <c r="AV127" s="18"/>
      <c r="AW127" s="138"/>
      <c r="AX127" s="18"/>
      <c r="AY127" s="18"/>
      <c r="AZ127"/>
      <c r="BA127"/>
    </row>
    <row r="128" spans="1:53" ht="5.4" customHeight="1" thickBot="1">
      <c r="A128" s="18"/>
      <c r="B128" s="195"/>
      <c r="C128" s="196"/>
      <c r="D128" s="197"/>
      <c r="E128" s="197"/>
      <c r="F128" s="197"/>
      <c r="G128" s="197"/>
      <c r="H128" s="197"/>
      <c r="I128" s="197"/>
      <c r="J128" s="197"/>
      <c r="K128" s="197"/>
      <c r="L128" s="197"/>
      <c r="M128" s="197"/>
      <c r="N128" s="197"/>
      <c r="O128" s="197"/>
      <c r="P128" s="197"/>
      <c r="Q128" s="196"/>
      <c r="R128" s="197"/>
      <c r="S128" s="198"/>
      <c r="T128" s="198"/>
      <c r="U128" s="198"/>
      <c r="V128" s="198"/>
      <c r="W128" s="198"/>
      <c r="X128" s="199"/>
      <c r="Y128" s="199"/>
      <c r="Z128" s="199"/>
      <c r="AA128" s="199"/>
      <c r="AB128" s="199"/>
      <c r="AC128" s="199"/>
      <c r="AD128" s="199"/>
      <c r="AE128" s="199"/>
      <c r="AF128" s="199"/>
      <c r="AG128" s="199"/>
      <c r="AH128" s="199"/>
      <c r="AI128" s="199"/>
      <c r="AJ128" s="200"/>
      <c r="AK128" s="201"/>
      <c r="AL128" s="192"/>
      <c r="AM128" s="192"/>
      <c r="AN128" s="18"/>
      <c r="AO128" s="18"/>
      <c r="AP128" s="18"/>
      <c r="AQ128" s="18"/>
      <c r="AR128" s="18"/>
      <c r="AS128" s="18"/>
      <c r="AT128" s="18"/>
      <c r="AU128" s="18"/>
      <c r="AV128" s="18"/>
      <c r="AW128" s="138"/>
      <c r="AX128" s="18"/>
      <c r="AY128" s="18"/>
    </row>
    <row r="129" spans="1:52" ht="1.95" customHeight="1">
      <c r="A129" s="18"/>
      <c r="B129" s="20"/>
      <c r="C129" s="192"/>
      <c r="D129" s="20"/>
      <c r="E129" s="20"/>
      <c r="F129" s="20"/>
      <c r="G129" s="20"/>
      <c r="H129" s="20"/>
      <c r="I129" s="20"/>
      <c r="J129" s="20"/>
      <c r="K129" s="20"/>
      <c r="L129" s="20"/>
      <c r="M129" s="20"/>
      <c r="N129" s="20"/>
      <c r="O129" s="20"/>
      <c r="P129" s="20"/>
      <c r="Q129" s="192"/>
      <c r="R129" s="20"/>
      <c r="S129" s="202"/>
      <c r="T129" s="202"/>
      <c r="U129" s="202"/>
      <c r="V129" s="202"/>
      <c r="W129" s="202"/>
      <c r="X129" s="203"/>
      <c r="Y129" s="203"/>
      <c r="Z129" s="203"/>
      <c r="AA129" s="203"/>
      <c r="AB129" s="203"/>
      <c r="AC129" s="203"/>
      <c r="AD129" s="203"/>
      <c r="AE129" s="203"/>
      <c r="AF129" s="203"/>
      <c r="AG129" s="203"/>
      <c r="AH129" s="203"/>
      <c r="AI129" s="203"/>
      <c r="AJ129" s="204"/>
      <c r="AK129" s="192"/>
      <c r="AL129" s="192"/>
      <c r="AM129" s="192"/>
      <c r="AN129" s="18"/>
      <c r="AO129" s="18"/>
      <c r="AP129" s="18"/>
      <c r="AQ129" s="18"/>
      <c r="AR129" s="18"/>
      <c r="AS129" s="18"/>
      <c r="AT129" s="18"/>
      <c r="AU129" s="18"/>
      <c r="AV129" s="18"/>
      <c r="AW129" s="138"/>
      <c r="AX129" s="18"/>
      <c r="AY129" s="18"/>
    </row>
    <row r="130" spans="1:52" ht="15.6"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2"/>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5"/>
    </row>
    <row r="133" spans="1:52" s="205" customFormat="1" ht="4.2"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5" customHeight="1">
      <c r="A134" s="18"/>
      <c r="B134" s="937" t="s">
        <v>122</v>
      </c>
      <c r="C134" s="938"/>
      <c r="D134" s="938"/>
      <c r="E134" s="938"/>
      <c r="F134" s="938"/>
      <c r="G134" s="938"/>
      <c r="H134" s="938"/>
      <c r="I134" s="938"/>
      <c r="J134" s="938"/>
      <c r="K134" s="938"/>
      <c r="L134" s="938"/>
      <c r="M134" s="938"/>
      <c r="N134" s="938"/>
      <c r="O134" s="938"/>
      <c r="P134" s="938"/>
      <c r="Q134" s="938"/>
      <c r="R134" s="938"/>
      <c r="S134" s="938"/>
      <c r="T134" s="938"/>
      <c r="U134" s="938"/>
      <c r="V134" s="938"/>
      <c r="W134" s="938"/>
      <c r="X134" s="938"/>
      <c r="Y134" s="938"/>
      <c r="Z134" s="938"/>
      <c r="AA134" s="938"/>
      <c r="AB134" s="938"/>
      <c r="AC134" s="938"/>
      <c r="AD134" s="938"/>
      <c r="AE134" s="938"/>
      <c r="AF134" s="938"/>
      <c r="AG134" s="938"/>
      <c r="AH134" s="938"/>
      <c r="AI134" s="938"/>
      <c r="AJ134" s="938"/>
      <c r="AK134" s="939"/>
      <c r="AL134" s="18"/>
    </row>
    <row r="135" spans="1:52">
      <c r="A135" s="18"/>
      <c r="B135" s="972" t="s">
        <v>2190</v>
      </c>
      <c r="C135" s="973"/>
      <c r="D135" s="973"/>
      <c r="E135" s="973"/>
      <c r="F135" s="973"/>
      <c r="G135" s="973"/>
      <c r="H135" s="973"/>
      <c r="I135" s="973"/>
      <c r="J135" s="973"/>
      <c r="K135" s="973"/>
      <c r="L135" s="973"/>
      <c r="M135" s="973"/>
      <c r="N135" s="973"/>
      <c r="O135" s="973"/>
      <c r="P135" s="973"/>
      <c r="Q135" s="973"/>
      <c r="R135" s="973"/>
      <c r="S135" s="973"/>
      <c r="T135" s="973"/>
      <c r="U135" s="973"/>
      <c r="V135" s="973"/>
      <c r="W135" s="973"/>
      <c r="X135" s="973"/>
      <c r="Y135" s="973"/>
      <c r="Z135" s="973"/>
      <c r="AA135" s="973"/>
      <c r="AB135" s="973"/>
      <c r="AC135" s="973"/>
      <c r="AD135" s="973"/>
      <c r="AE135" s="973"/>
      <c r="AF135" s="973"/>
      <c r="AG135" s="973"/>
      <c r="AH135" s="973"/>
      <c r="AI135" s="973"/>
      <c r="AJ135" s="974"/>
      <c r="AK135" s="206"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2" customHeight="1">
      <c r="A137" s="167"/>
      <c r="B137" s="937" t="s">
        <v>2264</v>
      </c>
      <c r="C137" s="938"/>
      <c r="D137" s="938"/>
      <c r="E137" s="938"/>
      <c r="F137" s="938"/>
      <c r="G137" s="938"/>
      <c r="H137" s="938"/>
      <c r="I137" s="938"/>
      <c r="J137" s="938"/>
      <c r="K137" s="938"/>
      <c r="L137" s="938"/>
      <c r="M137" s="938"/>
      <c r="N137" s="938"/>
      <c r="O137" s="938"/>
      <c r="P137" s="938"/>
      <c r="Q137" s="938"/>
      <c r="R137" s="938"/>
      <c r="S137" s="938"/>
      <c r="T137" s="938"/>
      <c r="U137" s="938"/>
      <c r="V137" s="938"/>
      <c r="W137" s="938"/>
      <c r="X137" s="938"/>
      <c r="Y137" s="938"/>
      <c r="Z137" s="938"/>
      <c r="AA137" s="938"/>
      <c r="AB137" s="938"/>
      <c r="AC137" s="938"/>
      <c r="AD137" s="938"/>
      <c r="AE137" s="938"/>
      <c r="AF137" s="938"/>
      <c r="AG137" s="938"/>
      <c r="AH137" s="938"/>
      <c r="AI137" s="938"/>
      <c r="AJ137" s="938"/>
      <c r="AK137" s="939"/>
      <c r="AL137" s="18"/>
    </row>
    <row r="138" spans="1:52" s="169" customFormat="1" ht="15" customHeight="1">
      <c r="A138" s="167"/>
      <c r="B138" s="207" t="s">
        <v>123</v>
      </c>
      <c r="C138" s="975" t="s">
        <v>124</v>
      </c>
      <c r="D138" s="976"/>
      <c r="E138" s="976"/>
      <c r="F138" s="976"/>
      <c r="G138" s="976"/>
      <c r="H138" s="976"/>
      <c r="I138" s="977"/>
      <c r="J138" s="964" t="s">
        <v>125</v>
      </c>
      <c r="K138" s="964"/>
      <c r="L138" s="964"/>
      <c r="M138" s="964"/>
      <c r="N138" s="964"/>
      <c r="O138" s="964"/>
      <c r="P138" s="964"/>
      <c r="Q138" s="964"/>
      <c r="R138" s="964"/>
      <c r="S138" s="964"/>
      <c r="T138" s="964"/>
      <c r="U138" s="964"/>
      <c r="V138" s="964"/>
      <c r="W138" s="964"/>
      <c r="X138" s="964"/>
      <c r="Y138" s="964"/>
      <c r="Z138" s="964"/>
      <c r="AA138" s="964"/>
      <c r="AB138" s="964"/>
      <c r="AC138" s="964"/>
      <c r="AD138" s="964"/>
      <c r="AE138" s="964"/>
      <c r="AF138" s="964"/>
      <c r="AG138" s="964"/>
      <c r="AH138" s="964"/>
      <c r="AI138" s="964"/>
      <c r="AJ138" s="965"/>
      <c r="AK138" s="206" t="str">
        <f>IF(H6="", "",IF(AND(AK30="○", AB31="○"), "○", "×"))</f>
        <v/>
      </c>
      <c r="AL138" s="18"/>
    </row>
    <row r="139" spans="1:52" s="169" customFormat="1" ht="25.95" customHeight="1">
      <c r="A139" s="167"/>
      <c r="B139" s="207" t="s">
        <v>126</v>
      </c>
      <c r="C139" s="969" t="s">
        <v>127</v>
      </c>
      <c r="D139" s="970"/>
      <c r="E139" s="970"/>
      <c r="F139" s="970"/>
      <c r="G139" s="970"/>
      <c r="H139" s="970"/>
      <c r="I139" s="971"/>
      <c r="J139" s="962" t="s">
        <v>128</v>
      </c>
      <c r="K139" s="962"/>
      <c r="L139" s="962"/>
      <c r="M139" s="962"/>
      <c r="N139" s="962"/>
      <c r="O139" s="962"/>
      <c r="P139" s="962"/>
      <c r="Q139" s="962"/>
      <c r="R139" s="962"/>
      <c r="S139" s="962"/>
      <c r="T139" s="962"/>
      <c r="U139" s="962"/>
      <c r="V139" s="962"/>
      <c r="W139" s="962"/>
      <c r="X139" s="962"/>
      <c r="Y139" s="962"/>
      <c r="Z139" s="962"/>
      <c r="AA139" s="962"/>
      <c r="AB139" s="962"/>
      <c r="AC139" s="962"/>
      <c r="AD139" s="962"/>
      <c r="AE139" s="962"/>
      <c r="AF139" s="962"/>
      <c r="AG139" s="962"/>
      <c r="AH139" s="962"/>
      <c r="AI139" s="962"/>
      <c r="AJ139" s="963"/>
      <c r="AK139" s="206" t="str">
        <f>IF(H6="","",IF(OR(AK38="○",AND(AK38="×",AK39="✓")),"○","×"))</f>
        <v/>
      </c>
      <c r="AL139" s="208"/>
    </row>
    <row r="140" spans="1:52" s="169" customFormat="1" ht="24" customHeight="1">
      <c r="A140" s="19"/>
      <c r="B140" s="537" t="s">
        <v>129</v>
      </c>
      <c r="C140" s="969" t="s">
        <v>130</v>
      </c>
      <c r="D140" s="970"/>
      <c r="E140" s="970"/>
      <c r="F140" s="970"/>
      <c r="G140" s="970"/>
      <c r="H140" s="970"/>
      <c r="I140" s="971"/>
      <c r="J140" s="962" t="s">
        <v>131</v>
      </c>
      <c r="K140" s="962"/>
      <c r="L140" s="962"/>
      <c r="M140" s="962"/>
      <c r="N140" s="962"/>
      <c r="O140" s="962"/>
      <c r="P140" s="962"/>
      <c r="Q140" s="962"/>
      <c r="R140" s="962"/>
      <c r="S140" s="962"/>
      <c r="T140" s="962"/>
      <c r="U140" s="962"/>
      <c r="V140" s="962"/>
      <c r="W140" s="962"/>
      <c r="X140" s="962"/>
      <c r="Y140" s="962"/>
      <c r="Z140" s="962"/>
      <c r="AA140" s="962"/>
      <c r="AB140" s="962"/>
      <c r="AC140" s="962"/>
      <c r="AD140" s="962"/>
      <c r="AE140" s="962"/>
      <c r="AF140" s="962"/>
      <c r="AG140" s="962"/>
      <c r="AH140" s="962"/>
      <c r="AI140" s="962"/>
      <c r="AJ140" s="963"/>
      <c r="AK140" s="206" t="str">
        <f>IF(H6="","",IF(BA42=0,"",IF(OR(AK42="○",AND(AK42="×",AK43="✓")),"○","×")))</f>
        <v/>
      </c>
      <c r="AL140" s="18"/>
    </row>
    <row r="141" spans="1:52" s="13" customFormat="1" ht="26.25" customHeight="1">
      <c r="A141" s="19"/>
      <c r="B141" s="537" t="s">
        <v>132</v>
      </c>
      <c r="C141" s="969" t="s">
        <v>133</v>
      </c>
      <c r="D141" s="970"/>
      <c r="E141" s="970"/>
      <c r="F141" s="970"/>
      <c r="G141" s="970"/>
      <c r="H141" s="970"/>
      <c r="I141" s="971"/>
      <c r="J141" s="962" t="s">
        <v>2507</v>
      </c>
      <c r="K141" s="962"/>
      <c r="L141" s="962"/>
      <c r="M141" s="962"/>
      <c r="N141" s="962"/>
      <c r="O141" s="962"/>
      <c r="P141" s="962"/>
      <c r="Q141" s="962"/>
      <c r="R141" s="962"/>
      <c r="S141" s="962"/>
      <c r="T141" s="962"/>
      <c r="U141" s="962"/>
      <c r="V141" s="962"/>
      <c r="W141" s="962"/>
      <c r="X141" s="962"/>
      <c r="Y141" s="962"/>
      <c r="Z141" s="962"/>
      <c r="AA141" s="962"/>
      <c r="AB141" s="962"/>
      <c r="AC141" s="962"/>
      <c r="AD141" s="962"/>
      <c r="AE141" s="962"/>
      <c r="AF141" s="962"/>
      <c r="AG141" s="962"/>
      <c r="AH141" s="962"/>
      <c r="AI141" s="962"/>
      <c r="AJ141" s="963"/>
      <c r="AK141" s="206" t="str">
        <f>IF(H6="","",IF(AND(BA46=0,BE46=0),"",IF(AK46="○","○","×")))</f>
        <v/>
      </c>
      <c r="AL141" s="18"/>
    </row>
    <row r="142" spans="1:52" s="13" customFormat="1" ht="18" customHeight="1">
      <c r="A142" s="19"/>
      <c r="B142" s="537" t="s">
        <v>134</v>
      </c>
      <c r="C142" s="969" t="s">
        <v>135</v>
      </c>
      <c r="D142" s="970"/>
      <c r="E142" s="970"/>
      <c r="F142" s="970"/>
      <c r="G142" s="970"/>
      <c r="H142" s="970"/>
      <c r="I142" s="971"/>
      <c r="J142" s="964" t="s">
        <v>2265</v>
      </c>
      <c r="K142" s="964"/>
      <c r="L142" s="964"/>
      <c r="M142" s="964"/>
      <c r="N142" s="964"/>
      <c r="O142" s="964"/>
      <c r="P142" s="964"/>
      <c r="Q142" s="964"/>
      <c r="R142" s="964"/>
      <c r="S142" s="964"/>
      <c r="T142" s="964"/>
      <c r="U142" s="964"/>
      <c r="V142" s="964"/>
      <c r="W142" s="964"/>
      <c r="X142" s="964"/>
      <c r="Y142" s="964"/>
      <c r="Z142" s="964"/>
      <c r="AA142" s="964"/>
      <c r="AB142" s="964"/>
      <c r="AC142" s="964"/>
      <c r="AD142" s="964"/>
      <c r="AE142" s="964"/>
      <c r="AF142" s="964"/>
      <c r="AG142" s="964"/>
      <c r="AH142" s="964"/>
      <c r="AI142" s="964"/>
      <c r="AJ142" s="965"/>
      <c r="AK142" s="206" t="str">
        <f>IF(H6="","",IF(AND(BA51=0,BE51=0),"",IF(AK51="○","○","×")))</f>
        <v/>
      </c>
      <c r="AL142" s="208"/>
    </row>
    <row r="143" spans="1:52" s="13" customFormat="1" ht="22.2" customHeight="1">
      <c r="A143" s="19"/>
      <c r="B143" s="955" t="s">
        <v>136</v>
      </c>
      <c r="C143" s="956" t="s">
        <v>137</v>
      </c>
      <c r="D143" s="957"/>
      <c r="E143" s="957"/>
      <c r="F143" s="957"/>
      <c r="G143" s="957"/>
      <c r="H143" s="957"/>
      <c r="I143" s="958"/>
      <c r="J143" s="962" t="s">
        <v>2192</v>
      </c>
      <c r="K143" s="962"/>
      <c r="L143" s="962"/>
      <c r="M143" s="962"/>
      <c r="N143" s="962"/>
      <c r="O143" s="962"/>
      <c r="P143" s="962"/>
      <c r="Q143" s="962"/>
      <c r="R143" s="962"/>
      <c r="S143" s="962"/>
      <c r="T143" s="962"/>
      <c r="U143" s="962"/>
      <c r="V143" s="962"/>
      <c r="W143" s="962"/>
      <c r="X143" s="962"/>
      <c r="Y143" s="962"/>
      <c r="Z143" s="962"/>
      <c r="AA143" s="962"/>
      <c r="AB143" s="962"/>
      <c r="AC143" s="962"/>
      <c r="AD143" s="962"/>
      <c r="AE143" s="962"/>
      <c r="AF143" s="962"/>
      <c r="AG143" s="962"/>
      <c r="AH143" s="962"/>
      <c r="AI143" s="962"/>
      <c r="AJ143" s="963"/>
      <c r="AK143" s="206" t="str">
        <f>IF(H6="", "",IF(OR(AK54="○", AK56="○"), "○", "×"))</f>
        <v/>
      </c>
      <c r="AL143" s="18"/>
    </row>
    <row r="144" spans="1:52" s="13" customFormat="1">
      <c r="A144" s="19"/>
      <c r="B144" s="955"/>
      <c r="C144" s="959"/>
      <c r="D144" s="960"/>
      <c r="E144" s="960"/>
      <c r="F144" s="960"/>
      <c r="G144" s="960"/>
      <c r="H144" s="960"/>
      <c r="I144" s="961"/>
      <c r="J144" s="964" t="s">
        <v>2266</v>
      </c>
      <c r="K144" s="964"/>
      <c r="L144" s="964"/>
      <c r="M144" s="964"/>
      <c r="N144" s="964"/>
      <c r="O144" s="964"/>
      <c r="P144" s="964"/>
      <c r="Q144" s="964"/>
      <c r="R144" s="964"/>
      <c r="S144" s="964"/>
      <c r="T144" s="964"/>
      <c r="U144" s="964"/>
      <c r="V144" s="964"/>
      <c r="W144" s="964"/>
      <c r="X144" s="964"/>
      <c r="Y144" s="964"/>
      <c r="Z144" s="964"/>
      <c r="AA144" s="964"/>
      <c r="AB144" s="964"/>
      <c r="AC144" s="964"/>
      <c r="AD144" s="964"/>
      <c r="AE144" s="964"/>
      <c r="AF144" s="964"/>
      <c r="AG144" s="964"/>
      <c r="AH144" s="964"/>
      <c r="AI144" s="964"/>
      <c r="AJ144" s="965"/>
      <c r="AK144" s="206" t="str">
        <f>IF(H6="", "", AK96)</f>
        <v/>
      </c>
      <c r="AL144" s="18"/>
    </row>
    <row r="145" spans="1:38" ht="15" customHeight="1">
      <c r="A145" s="18"/>
      <c r="B145" s="378" t="s">
        <v>138</v>
      </c>
      <c r="C145" s="966" t="s">
        <v>139</v>
      </c>
      <c r="D145" s="966"/>
      <c r="E145" s="966"/>
      <c r="F145" s="966"/>
      <c r="G145" s="966"/>
      <c r="H145" s="966"/>
      <c r="I145" s="966"/>
      <c r="J145" s="967" t="s">
        <v>140</v>
      </c>
      <c r="K145" s="967"/>
      <c r="L145" s="967"/>
      <c r="M145" s="967"/>
      <c r="N145" s="967"/>
      <c r="O145" s="967"/>
      <c r="P145" s="967"/>
      <c r="Q145" s="967"/>
      <c r="R145" s="967"/>
      <c r="S145" s="967"/>
      <c r="T145" s="967"/>
      <c r="U145" s="967"/>
      <c r="V145" s="967"/>
      <c r="W145" s="967"/>
      <c r="X145" s="967"/>
      <c r="Y145" s="967"/>
      <c r="Z145" s="967"/>
      <c r="AA145" s="967"/>
      <c r="AB145" s="967"/>
      <c r="AC145" s="967"/>
      <c r="AD145" s="967"/>
      <c r="AE145" s="967"/>
      <c r="AF145" s="967"/>
      <c r="AG145" s="967"/>
      <c r="AH145" s="967"/>
      <c r="AI145" s="967"/>
      <c r="AJ145" s="968"/>
      <c r="AK145" s="379"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95" customHeight="1">
      <c r="A147" s="18"/>
      <c r="B147" s="937" t="s">
        <v>141</v>
      </c>
      <c r="C147" s="938"/>
      <c r="D147" s="938"/>
      <c r="E147" s="938"/>
      <c r="F147" s="938"/>
      <c r="G147" s="938"/>
      <c r="H147" s="938"/>
      <c r="I147" s="938"/>
      <c r="J147" s="938"/>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8"/>
      <c r="AK147" s="939"/>
      <c r="AL147" s="18"/>
    </row>
    <row r="148" spans="1:38" ht="13.2" customHeight="1">
      <c r="A148" s="18"/>
      <c r="B148" s="209" t="s">
        <v>52</v>
      </c>
      <c r="C148" s="946" t="s">
        <v>142</v>
      </c>
      <c r="D148" s="947"/>
      <c r="E148" s="947"/>
      <c r="F148" s="947"/>
      <c r="G148" s="947"/>
      <c r="H148" s="947"/>
      <c r="I148" s="947"/>
      <c r="J148" s="947"/>
      <c r="K148" s="947"/>
      <c r="L148" s="947"/>
      <c r="M148" s="947"/>
      <c r="N148" s="947"/>
      <c r="O148" s="947"/>
      <c r="P148" s="947"/>
      <c r="Q148" s="947"/>
      <c r="R148" s="947"/>
      <c r="S148" s="947"/>
      <c r="T148" s="947"/>
      <c r="U148" s="947"/>
      <c r="V148" s="947"/>
      <c r="W148" s="947"/>
      <c r="X148" s="947"/>
      <c r="Y148" s="947"/>
      <c r="Z148" s="947"/>
      <c r="AA148" s="947"/>
      <c r="AB148" s="947"/>
      <c r="AC148" s="947"/>
      <c r="AD148" s="947"/>
      <c r="AE148" s="947"/>
      <c r="AF148" s="947"/>
      <c r="AG148" s="947"/>
      <c r="AH148" s="947"/>
      <c r="AI148" s="947"/>
      <c r="AJ148" s="948"/>
      <c r="AK148" s="206" t="str">
        <f>IF(H6="", "",AK110)</f>
        <v/>
      </c>
      <c r="AL148" s="18"/>
    </row>
    <row r="149" spans="1:38" ht="13.2" customHeight="1">
      <c r="A149" s="18"/>
      <c r="B149" s="210" t="s">
        <v>52</v>
      </c>
      <c r="C149" s="949" t="s">
        <v>143</v>
      </c>
      <c r="D149" s="950"/>
      <c r="E149" s="950"/>
      <c r="F149" s="950"/>
      <c r="G149" s="950"/>
      <c r="H149" s="950"/>
      <c r="I149" s="950"/>
      <c r="J149" s="950"/>
      <c r="K149" s="950"/>
      <c r="L149" s="950"/>
      <c r="M149" s="950"/>
      <c r="N149" s="950"/>
      <c r="O149" s="950"/>
      <c r="P149" s="950"/>
      <c r="Q149" s="950"/>
      <c r="R149" s="950"/>
      <c r="S149" s="950"/>
      <c r="T149" s="950"/>
      <c r="U149" s="950"/>
      <c r="V149" s="950"/>
      <c r="W149" s="950"/>
      <c r="X149" s="950"/>
      <c r="Y149" s="950"/>
      <c r="Z149" s="950"/>
      <c r="AA149" s="950"/>
      <c r="AB149" s="950"/>
      <c r="AC149" s="950"/>
      <c r="AD149" s="950"/>
      <c r="AE149" s="950"/>
      <c r="AF149" s="950"/>
      <c r="AG149" s="950"/>
      <c r="AH149" s="950"/>
      <c r="AI149" s="950"/>
      <c r="AJ149" s="951"/>
      <c r="AK149" s="206"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5" customHeight="1"/>
    <row r="152" spans="1:38" ht="13.2" customHeight="1"/>
    <row r="158" spans="1:38" ht="13.2" customHeight="1"/>
    <row r="160" spans="1:38" ht="27.6" customHeight="1"/>
    <row r="161" ht="27" customHeight="1"/>
    <row r="162" ht="19.95" customHeight="1"/>
    <row r="163" ht="18" customHeight="1"/>
    <row r="164" s="14" customFormat="1"/>
    <row r="165" s="14" customFormat="1"/>
    <row r="166" s="14" customFormat="1" ht="24" customHeight="1"/>
    <row r="167" ht="26.4" customHeight="1"/>
    <row r="168" ht="34.200000000000003" customHeight="1"/>
    <row r="169" ht="33.6" customHeight="1"/>
    <row r="170" ht="15.6" customHeight="1"/>
  </sheetData>
  <sheetProtection formatCells="0" formatColumns="0" formatRows="0" sort="0" autoFilter="0"/>
  <mergeCells count="227">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AM90:AX91"/>
    <mergeCell ref="BA90:BA93"/>
    <mergeCell ref="E91:F91"/>
    <mergeCell ref="G91:AK91"/>
    <mergeCell ref="E92:F92"/>
    <mergeCell ref="G92:AK92"/>
    <mergeCell ref="E93:F93"/>
    <mergeCell ref="G93:AK93"/>
    <mergeCell ref="E88:F88"/>
    <mergeCell ref="G88:AK88"/>
    <mergeCell ref="E89:F89"/>
    <mergeCell ref="G89:AK89"/>
    <mergeCell ref="B90:D93"/>
    <mergeCell ref="E90:F90"/>
    <mergeCell ref="G90:AK90"/>
    <mergeCell ref="E85:F85"/>
    <mergeCell ref="G85:AK85"/>
    <mergeCell ref="E86:F86"/>
    <mergeCell ref="G86:AK86"/>
    <mergeCell ref="E87:F87"/>
    <mergeCell ref="G87:AK87"/>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G71:AK71"/>
    <mergeCell ref="E72:F72"/>
    <mergeCell ref="AM65:AX66"/>
    <mergeCell ref="BA65:BA68"/>
    <mergeCell ref="E66:F66"/>
    <mergeCell ref="G66:AK66"/>
    <mergeCell ref="E67:F67"/>
    <mergeCell ref="G67:AK67"/>
    <mergeCell ref="E68:F68"/>
    <mergeCell ref="G68:AK68"/>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B41:AK41"/>
    <mergeCell ref="BA41:BD41"/>
    <mergeCell ref="BE41:BH41"/>
    <mergeCell ref="B42:AJ42"/>
    <mergeCell ref="BA42:BD42"/>
    <mergeCell ref="BE42:BH42"/>
    <mergeCell ref="BE37:BH37"/>
    <mergeCell ref="B38:AJ38"/>
    <mergeCell ref="BA38:BD38"/>
    <mergeCell ref="BE38:BH38"/>
    <mergeCell ref="B39:AJ39"/>
    <mergeCell ref="B40:AK40"/>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110</xdr:row>
                    <xdr:rowOff>137160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112</xdr:row>
                    <xdr:rowOff>22860</xdr:rowOff>
                  </from>
                  <to>
                    <xdr:col>2</xdr:col>
                    <xdr:colOff>7620</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113</xdr:row>
                    <xdr:rowOff>22860</xdr:rowOff>
                  </from>
                  <to>
                    <xdr:col>2</xdr:col>
                    <xdr:colOff>7620</xdr:colOff>
                    <xdr:row>114</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114</xdr:row>
                    <xdr:rowOff>22860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116</xdr:row>
                    <xdr:rowOff>22860</xdr:rowOff>
                  </from>
                  <to>
                    <xdr:col>2</xdr:col>
                    <xdr:colOff>0</xdr:colOff>
                    <xdr:row>117</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115</xdr:row>
                    <xdr:rowOff>22860</xdr:rowOff>
                  </from>
                  <to>
                    <xdr:col>2</xdr:col>
                    <xdr:colOff>7620</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heetViews>
  <sheetFormatPr defaultColWidth="2.33203125" defaultRowHeight="16.2"/>
  <cols>
    <col min="1" max="1" width="5.33203125" customWidth="1"/>
    <col min="2" max="6" width="2.33203125" style="265" customWidth="1"/>
    <col min="7" max="7" width="12.33203125" customWidth="1"/>
    <col min="8" max="8" width="9" customWidth="1"/>
    <col min="9" max="9" width="9.33203125" style="59" customWidth="1"/>
    <col min="10" max="10" width="19.33203125" customWidth="1"/>
    <col min="11" max="11" width="17.33203125" style="24" customWidth="1"/>
    <col min="12" max="14" width="14" customWidth="1"/>
    <col min="15" max="15" width="20.77734375" style="260" customWidth="1"/>
    <col min="16" max="16" width="12" style="48" customWidth="1"/>
    <col min="17" max="17" width="6.33203125" style="261" customWidth="1"/>
    <col min="18" max="18" width="3" style="48" customWidth="1"/>
    <col min="19" max="19" width="3.77734375" style="24" customWidth="1"/>
    <col min="20" max="20" width="3.33203125" style="262" customWidth="1"/>
    <col min="21" max="21" width="10.21875" style="24" customWidth="1"/>
    <col min="22" max="22" width="3.33203125" style="262" customWidth="1"/>
    <col min="23" max="23" width="3.33203125" style="24" customWidth="1"/>
    <col min="24" max="24" width="2.88671875" style="262" customWidth="1"/>
    <col min="25" max="25" width="2.88671875" style="24" customWidth="1"/>
    <col min="26" max="26" width="3.33203125" style="262" customWidth="1"/>
    <col min="27" max="27" width="2.88671875" style="24" customWidth="1"/>
    <col min="28" max="28" width="7.33203125" style="24" customWidth="1"/>
    <col min="29" max="30" width="16.88671875" style="24" customWidth="1"/>
    <col min="31" max="31" width="15" style="24" customWidth="1"/>
    <col min="32" max="32" width="18.109375" style="48" customWidth="1"/>
    <col min="33" max="33" width="21.6640625" style="319" customWidth="1"/>
    <col min="34" max="34" width="21.6640625" style="264" customWidth="1"/>
    <col min="35" max="35" width="18.33203125" style="317" customWidth="1"/>
    <col min="36" max="36" width="20.88671875" style="317" customWidth="1"/>
    <col min="37" max="37" width="21.33203125" style="263" customWidth="1"/>
    <col min="38" max="40" width="22.33203125" style="264" customWidth="1"/>
    <col min="41" max="41" width="22.33203125" style="264" hidden="1" customWidth="1"/>
    <col min="42" max="42" width="21.6640625" style="17" hidden="1" customWidth="1"/>
    <col min="43" max="43" width="16.6640625" style="17" hidden="1" customWidth="1"/>
    <col min="44" max="44" width="18.33203125" style="221" hidden="1" customWidth="1"/>
    <col min="45" max="45" width="21.6640625" style="17" hidden="1" customWidth="1"/>
    <col min="46" max="46" width="16.33203125" style="221" hidden="1" customWidth="1"/>
    <col min="47" max="47" width="14.33203125" style="221" hidden="1" customWidth="1"/>
    <col min="48" max="49" width="25.109375" style="221" hidden="1" customWidth="1"/>
    <col min="50" max="50" width="21.77734375" style="221" hidden="1" customWidth="1"/>
    <col min="51" max="52" width="17" style="221" hidden="1" customWidth="1"/>
    <col min="53" max="53" width="10" style="221" hidden="1" customWidth="1"/>
    <col min="54" max="54" width="29.44140625" style="221" hidden="1" customWidth="1"/>
    <col min="55" max="55" width="16.33203125" style="221" hidden="1" customWidth="1"/>
    <col min="56" max="59" width="10" style="221" hidden="1" customWidth="1"/>
    <col min="60" max="60" width="14.33203125" style="221" hidden="1" customWidth="1"/>
    <col min="61" max="61" width="13.88671875" style="221" bestFit="1" customWidth="1"/>
    <col min="62" max="62" width="15.33203125" style="221" customWidth="1"/>
    <col min="63" max="63" width="12.88671875" style="221" customWidth="1"/>
    <col min="64" max="64" width="11.33203125" style="221" customWidth="1"/>
    <col min="65" max="67" width="6.88671875" style="221" customWidth="1"/>
    <col min="68" max="68" width="6.88671875" style="222" customWidth="1"/>
    <col min="69" max="69" width="22.109375" customWidth="1"/>
  </cols>
  <sheetData>
    <row r="1" spans="1:69" ht="29.25" customHeight="1" thickBot="1">
      <c r="A1" s="211" t="s">
        <v>144</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316"/>
      <c r="AJ1" s="527" t="s">
        <v>3</v>
      </c>
      <c r="AK1" s="527" t="str">
        <f>IF(基本情報入力シート!C11="", "",基本情報入力シート!C11)</f>
        <v/>
      </c>
      <c r="AL1" s="219"/>
      <c r="AM1" s="219"/>
      <c r="AN1" s="219"/>
      <c r="AO1" s="219"/>
      <c r="AP1" s="220"/>
      <c r="AQ1" s="219"/>
      <c r="AS1" s="220"/>
      <c r="BH1" s="222"/>
      <c r="BI1"/>
      <c r="BJ1"/>
      <c r="BK1"/>
      <c r="BL1"/>
      <c r="BM1"/>
      <c r="BN1"/>
      <c r="BO1"/>
      <c r="BP1"/>
    </row>
    <row r="2" spans="1:69"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316"/>
      <c r="AJ2" s="316"/>
      <c r="AK2" s="228"/>
      <c r="AL2" s="53"/>
      <c r="AM2" s="53"/>
      <c r="AN2" s="53"/>
      <c r="AO2" s="53"/>
      <c r="AP2" s="53"/>
      <c r="AS2" s="53"/>
      <c r="BH2" s="222"/>
      <c r="BI2"/>
      <c r="BJ2"/>
      <c r="BK2"/>
      <c r="BL2"/>
      <c r="BM2"/>
      <c r="BN2"/>
      <c r="BO2"/>
      <c r="BP2"/>
    </row>
    <row r="3" spans="1:69" ht="27" customHeight="1" thickBot="1">
      <c r="A3" s="589" t="s">
        <v>40</v>
      </c>
      <c r="B3" s="589"/>
      <c r="C3" s="590"/>
      <c r="D3" s="591" t="str">
        <f>IF(基本情報入力シート!L16="","",基本情報入力シート!L16)</f>
        <v/>
      </c>
      <c r="E3" s="592"/>
      <c r="F3" s="592"/>
      <c r="G3" s="592"/>
      <c r="H3" s="592"/>
      <c r="I3" s="592"/>
      <c r="J3" s="593"/>
      <c r="K3" s="98"/>
      <c r="L3" s="229"/>
      <c r="M3" s="229"/>
      <c r="N3" s="229"/>
      <c r="O3" s="532"/>
      <c r="P3" s="532"/>
      <c r="Q3" s="215"/>
      <c r="R3" s="216"/>
      <c r="S3" s="58"/>
      <c r="T3" s="217"/>
      <c r="U3" s="217"/>
      <c r="V3" s="217"/>
      <c r="W3" s="217"/>
      <c r="X3" s="217"/>
      <c r="Y3" s="217"/>
      <c r="Z3" s="217"/>
      <c r="AA3" s="217"/>
      <c r="AB3" s="217"/>
      <c r="AC3" s="217"/>
      <c r="AD3" s="217"/>
      <c r="AE3" s="217"/>
      <c r="AF3" s="218"/>
      <c r="AG3" s="240"/>
      <c r="AH3" s="53"/>
      <c r="AI3" s="316"/>
      <c r="AJ3" s="316"/>
      <c r="AK3" s="228"/>
      <c r="AL3" s="53"/>
      <c r="AM3" s="53"/>
      <c r="AN3" s="53"/>
      <c r="AO3" s="53"/>
      <c r="AP3" s="53"/>
      <c r="AR3" s="230"/>
      <c r="AS3" s="53"/>
      <c r="AT3" s="230"/>
      <c r="AU3" s="230"/>
      <c r="BL3" s="222"/>
      <c r="BM3"/>
      <c r="BN3"/>
      <c r="BO3"/>
      <c r="BP3"/>
    </row>
    <row r="4" spans="1:69" ht="21" customHeight="1" thickBot="1">
      <c r="A4" s="548"/>
      <c r="B4" s="231"/>
      <c r="C4" s="231"/>
      <c r="D4" s="232"/>
      <c r="E4" s="232"/>
      <c r="F4" s="232"/>
      <c r="G4" s="56"/>
      <c r="H4" s="56"/>
      <c r="I4" s="56"/>
      <c r="J4" s="56"/>
      <c r="K4" s="56"/>
      <c r="L4" s="229"/>
      <c r="M4" s="229"/>
      <c r="N4" s="229"/>
      <c r="O4" s="532"/>
      <c r="P4" s="532"/>
      <c r="Q4" s="215"/>
      <c r="R4" s="216"/>
      <c r="S4" s="58"/>
      <c r="T4" s="217"/>
      <c r="U4" s="217"/>
      <c r="V4" s="217"/>
      <c r="W4" s="217"/>
      <c r="X4" s="217"/>
      <c r="Y4" s="217"/>
      <c r="Z4" s="217"/>
      <c r="AA4" s="217"/>
      <c r="AB4" s="217"/>
      <c r="AC4" s="217"/>
      <c r="AD4" s="217"/>
      <c r="AE4" s="217"/>
      <c r="AF4" s="218"/>
      <c r="AG4" s="594" t="s">
        <v>2188</v>
      </c>
      <c r="AH4" s="594"/>
      <c r="AI4" s="594"/>
      <c r="AJ4" s="594"/>
      <c r="AK4" s="594"/>
      <c r="AL4" s="53"/>
      <c r="AM4" s="53"/>
      <c r="AN4" s="53"/>
      <c r="AO4" s="53"/>
      <c r="AP4" s="53"/>
      <c r="AS4" s="53"/>
      <c r="BL4" s="222"/>
      <c r="BM4"/>
      <c r="BN4"/>
      <c r="BO4"/>
      <c r="BP4"/>
    </row>
    <row r="5" spans="1:69" ht="35.25" customHeight="1" thickBot="1">
      <c r="A5" s="979" t="s">
        <v>145</v>
      </c>
      <c r="B5" s="980"/>
      <c r="C5" s="980"/>
      <c r="D5" s="980"/>
      <c r="E5" s="980"/>
      <c r="F5" s="980"/>
      <c r="G5" s="980"/>
      <c r="H5" s="980"/>
      <c r="I5" s="980"/>
      <c r="J5" s="980"/>
      <c r="K5" s="981"/>
      <c r="L5" s="615">
        <f>IFERROR(SUM(AC:AC),"")</f>
        <v>0</v>
      </c>
      <c r="M5" s="982"/>
      <c r="N5" s="616"/>
      <c r="O5" s="234" t="s">
        <v>48</v>
      </c>
      <c r="P5" s="532"/>
      <c r="Q5" s="235"/>
      <c r="R5" s="215"/>
      <c r="S5" s="216"/>
      <c r="T5" s="58"/>
      <c r="U5" s="217"/>
      <c r="V5" s="217"/>
      <c r="W5" s="217"/>
      <c r="X5" s="217"/>
      <c r="Y5" s="217"/>
      <c r="Z5" s="217"/>
      <c r="AA5" s="217"/>
      <c r="AB5" s="217"/>
      <c r="AC5" s="217"/>
      <c r="AD5" s="217"/>
      <c r="AE5" s="217"/>
      <c r="AF5" s="218"/>
      <c r="AG5" s="602" t="s">
        <v>2224</v>
      </c>
      <c r="AH5" s="603"/>
      <c r="AI5" s="603"/>
      <c r="AJ5" s="604"/>
      <c r="AK5" s="325">
        <f>COUNTIF(AU:AU,"対象")</f>
        <v>0</v>
      </c>
      <c r="AL5" s="54"/>
      <c r="AM5" s="54"/>
      <c r="AN5" s="54"/>
      <c r="AO5" s="54"/>
      <c r="AP5" s="233"/>
      <c r="AQ5" s="236"/>
      <c r="AS5" s="233"/>
      <c r="BL5" s="222"/>
      <c r="BM5"/>
      <c r="BN5"/>
      <c r="BO5"/>
      <c r="BP5"/>
    </row>
    <row r="6" spans="1:69" ht="35.25" customHeight="1" thickBot="1">
      <c r="A6" s="237"/>
      <c r="B6" s="979" t="s">
        <v>146</v>
      </c>
      <c r="C6" s="980"/>
      <c r="D6" s="980"/>
      <c r="E6" s="980"/>
      <c r="F6" s="980"/>
      <c r="G6" s="980"/>
      <c r="H6" s="980"/>
      <c r="I6" s="980"/>
      <c r="J6" s="980"/>
      <c r="K6" s="981"/>
      <c r="L6" s="615">
        <f>IFERROR(SUM(AE:AE),"")</f>
        <v>0</v>
      </c>
      <c r="M6" s="982"/>
      <c r="N6" s="616"/>
      <c r="O6" s="234" t="s">
        <v>48</v>
      </c>
      <c r="P6" s="214"/>
      <c r="Q6" s="235"/>
      <c r="R6" s="215"/>
      <c r="S6" s="216"/>
      <c r="T6" s="58"/>
      <c r="U6" s="217"/>
      <c r="V6" s="217"/>
      <c r="W6" s="217"/>
      <c r="X6" s="217"/>
      <c r="Y6" s="217"/>
      <c r="Z6" s="217"/>
      <c r="AA6" s="217"/>
      <c r="AB6" s="217"/>
      <c r="AC6" s="217"/>
      <c r="AD6" s="217"/>
      <c r="AE6" s="217"/>
      <c r="AF6" s="218"/>
      <c r="AG6" s="985" t="s">
        <v>2491</v>
      </c>
      <c r="AH6" s="986"/>
      <c r="AI6" s="986"/>
      <c r="AJ6" s="987"/>
      <c r="AK6" s="560">
        <f>COUNTIF(AI13:AI113,"○")</f>
        <v>0</v>
      </c>
      <c r="AL6" s="233"/>
      <c r="AM6" s="233"/>
      <c r="AN6" s="233"/>
      <c r="AO6" s="233"/>
      <c r="AP6" s="233"/>
      <c r="AQ6" s="236"/>
      <c r="AS6" s="233"/>
      <c r="AV6" s="238"/>
      <c r="AW6" s="238"/>
      <c r="AX6" s="238"/>
      <c r="AY6" s="611"/>
      <c r="AZ6" s="611"/>
      <c r="BA6" s="611"/>
      <c r="BB6" s="611"/>
      <c r="BC6" s="611"/>
      <c r="BD6" s="611"/>
      <c r="BE6" s="611"/>
      <c r="BF6" s="611"/>
      <c r="BG6" s="611"/>
      <c r="BH6" s="611"/>
      <c r="BI6" s="611"/>
      <c r="BJ6" s="611"/>
      <c r="BK6" s="546"/>
      <c r="BL6" s="611"/>
      <c r="BM6" s="611"/>
      <c r="BN6" s="611"/>
      <c r="BO6" s="611"/>
      <c r="BP6" s="611"/>
    </row>
    <row r="7" spans="1:69" ht="35.25" customHeight="1">
      <c r="A7" s="605" t="s">
        <v>2474</v>
      </c>
      <c r="B7" s="606"/>
      <c r="C7" s="606"/>
      <c r="D7" s="606"/>
      <c r="E7" s="606"/>
      <c r="F7" s="606"/>
      <c r="G7" s="606"/>
      <c r="H7" s="606"/>
      <c r="I7" s="606"/>
      <c r="J7" s="606"/>
      <c r="K7" s="607"/>
      <c r="L7" s="608">
        <f>SUM(AD13:AD113)</f>
        <v>0</v>
      </c>
      <c r="M7" s="608"/>
      <c r="N7" s="608"/>
      <c r="O7" s="234" t="s">
        <v>2475</v>
      </c>
      <c r="P7" s="214"/>
      <c r="Q7" s="235"/>
      <c r="R7" s="215"/>
      <c r="S7" s="216"/>
      <c r="T7" s="58"/>
      <c r="U7" s="217"/>
      <c r="V7" s="217"/>
      <c r="W7" s="217"/>
      <c r="X7" s="217"/>
      <c r="Y7" s="217"/>
      <c r="Z7" s="217"/>
      <c r="AA7" s="217"/>
      <c r="AB7" s="217"/>
      <c r="AC7" s="217"/>
      <c r="AD7" s="217"/>
      <c r="AE7" s="217"/>
      <c r="AF7" s="218"/>
      <c r="AG7" s="573"/>
      <c r="AH7" s="573"/>
      <c r="AI7" s="573"/>
      <c r="AJ7" s="573"/>
      <c r="AK7" s="561"/>
      <c r="AL7" s="233"/>
      <c r="AM7" s="233"/>
      <c r="AN7" s="233"/>
      <c r="AO7" s="233"/>
      <c r="AP7" s="233"/>
      <c r="AQ7" s="236"/>
      <c r="AS7" s="233"/>
      <c r="AV7" s="238"/>
      <c r="AW7" s="238"/>
      <c r="AX7" s="238"/>
      <c r="AY7" s="546"/>
      <c r="AZ7" s="546"/>
      <c r="BA7" s="546"/>
      <c r="BB7" s="546"/>
      <c r="BC7" s="546"/>
      <c r="BD7" s="546"/>
      <c r="BE7" s="546"/>
      <c r="BF7" s="546"/>
      <c r="BG7" s="546"/>
      <c r="BH7" s="546"/>
      <c r="BI7" s="546"/>
      <c r="BJ7" s="546"/>
      <c r="BK7" s="546"/>
      <c r="BL7" s="546"/>
      <c r="BM7" s="546"/>
      <c r="BN7" s="546"/>
      <c r="BO7" s="546"/>
      <c r="BP7" s="546"/>
    </row>
    <row r="8" spans="1:69" ht="35.25" customHeight="1">
      <c r="A8" s="983" t="s">
        <v>2501</v>
      </c>
      <c r="B8" s="983"/>
      <c r="C8" s="983"/>
      <c r="D8" s="983"/>
      <c r="E8" s="983"/>
      <c r="F8" s="983"/>
      <c r="G8" s="983"/>
      <c r="H8" s="983"/>
      <c r="I8" s="983"/>
      <c r="J8" s="983"/>
      <c r="K8" s="983"/>
      <c r="L8" s="984"/>
      <c r="M8" s="543"/>
      <c r="N8" s="543"/>
      <c r="O8" s="324"/>
      <c r="P8" s="214"/>
      <c r="Q8" s="235"/>
      <c r="R8" s="215"/>
      <c r="S8" s="216"/>
      <c r="T8" s="58"/>
      <c r="U8" s="217"/>
      <c r="V8" s="217"/>
      <c r="W8" s="217"/>
      <c r="X8" s="217"/>
      <c r="Y8" s="217"/>
      <c r="Z8" s="217"/>
      <c r="AA8" s="217"/>
      <c r="AB8" s="217"/>
      <c r="AC8" s="217"/>
      <c r="AD8" s="217"/>
      <c r="AE8" s="217"/>
      <c r="AF8" s="218"/>
      <c r="AG8" s="570"/>
      <c r="AH8" s="12"/>
      <c r="AL8" s="233"/>
      <c r="AM8" s="233"/>
      <c r="AN8" s="233"/>
      <c r="AO8" s="233"/>
      <c r="AP8" s="233"/>
      <c r="AQ8" s="236"/>
      <c r="AS8" s="233"/>
      <c r="AV8" s="238"/>
      <c r="AW8" s="238"/>
      <c r="AX8" s="238"/>
      <c r="AY8" s="546"/>
      <c r="AZ8" s="546"/>
      <c r="BA8" s="546"/>
      <c r="BB8" s="546"/>
      <c r="BC8" s="546"/>
      <c r="BD8" s="546"/>
      <c r="BE8" s="546"/>
      <c r="BF8" s="546"/>
      <c r="BG8" s="546"/>
      <c r="BH8" s="546"/>
      <c r="BI8" s="546"/>
      <c r="BJ8" s="546"/>
      <c r="BK8" s="546"/>
      <c r="BL8" s="546"/>
      <c r="BM8" s="546"/>
      <c r="BN8" s="546"/>
      <c r="BO8" s="546"/>
      <c r="BP8" s="546"/>
    </row>
    <row r="9" spans="1:69" ht="35.25" customHeight="1" thickBot="1">
      <c r="A9" s="18"/>
      <c r="B9" s="241"/>
      <c r="C9" s="241"/>
      <c r="D9" s="241"/>
      <c r="E9" s="241"/>
      <c r="F9" s="241"/>
      <c r="G9" s="18"/>
      <c r="H9" s="18"/>
      <c r="I9" s="242"/>
      <c r="J9" s="18"/>
      <c r="K9" s="58"/>
      <c r="L9" s="18"/>
      <c r="M9" s="18"/>
      <c r="N9" s="18"/>
      <c r="O9" s="214"/>
      <c r="P9" s="214"/>
      <c r="Q9" s="239"/>
      <c r="R9" s="216"/>
      <c r="S9" s="58"/>
      <c r="T9" s="58"/>
      <c r="U9" s="58"/>
      <c r="V9" s="217"/>
      <c r="W9" s="58"/>
      <c r="X9" s="58"/>
      <c r="Y9" s="58"/>
      <c r="Z9" s="58"/>
      <c r="AA9" s="58"/>
      <c r="AB9" s="58"/>
      <c r="AC9" s="58"/>
      <c r="AD9" s="58"/>
      <c r="AE9" s="58"/>
      <c r="AF9" s="240"/>
      <c r="AG9" s="240"/>
      <c r="AH9" s="53"/>
      <c r="AI9" s="316"/>
      <c r="AJ9" s="316"/>
      <c r="AK9" s="228"/>
      <c r="AL9" s="53"/>
      <c r="AM9" s="53"/>
      <c r="AN9" s="53"/>
      <c r="AO9" s="53"/>
      <c r="AP9" s="221"/>
      <c r="AQ9" s="221"/>
      <c r="AR9" s="610"/>
      <c r="AS9" s="610"/>
      <c r="AT9" s="610"/>
      <c r="AU9" s="610"/>
      <c r="AV9" s="610"/>
      <c r="AW9" s="610"/>
      <c r="AX9" s="610"/>
      <c r="AY9" s="610"/>
      <c r="AZ9" s="544"/>
      <c r="BA9" s="610"/>
      <c r="BB9" s="610"/>
      <c r="BC9" s="610"/>
      <c r="BD9" s="610"/>
      <c r="BE9" s="610"/>
      <c r="BF9" s="610"/>
      <c r="BG9" s="544"/>
      <c r="BH9" s="610"/>
      <c r="BI9" s="610"/>
      <c r="BJ9" s="610"/>
      <c r="BK9" s="610"/>
      <c r="BL9" s="610"/>
      <c r="BM9"/>
      <c r="BN9"/>
      <c r="BO9"/>
      <c r="BP9"/>
    </row>
    <row r="10" spans="1:69" s="18" customFormat="1" ht="31.95" customHeight="1" thickBot="1">
      <c r="B10" s="241"/>
      <c r="C10" s="241"/>
      <c r="D10" s="241"/>
      <c r="E10" s="241"/>
      <c r="F10" s="241"/>
      <c r="I10" s="242"/>
      <c r="K10" s="58"/>
      <c r="O10" s="373"/>
      <c r="P10" s="216"/>
      <c r="Q10" s="58"/>
      <c r="R10" s="217"/>
      <c r="S10" s="217"/>
      <c r="T10" s="217"/>
      <c r="U10" s="217"/>
      <c r="V10" s="217"/>
      <c r="W10" s="217"/>
      <c r="X10" s="217"/>
      <c r="Y10" s="217"/>
      <c r="Z10" s="217"/>
      <c r="AA10" s="217"/>
      <c r="AB10" s="217"/>
      <c r="AC10" s="243"/>
      <c r="AD10" s="243"/>
      <c r="AE10" s="623" t="str">
        <f>IF(D3="", "", IFERROR(IF(COUNTIF(AQ13:AQ113,"未入力")=0,"○","×"),""))</f>
        <v/>
      </c>
      <c r="AF10" s="624"/>
      <c r="AG10" s="315" t="str">
        <f>IF(D3="", "", IFERROR(IF(COUNTIF(AR:AR,"未入力")=0,"○","×"),""))</f>
        <v/>
      </c>
      <c r="AH10" s="315" t="str">
        <f>IF(D3="", "", IFERROR(IF(COUNTIF(AT:AT,"未入力")=0,"○","×"),""))</f>
        <v/>
      </c>
      <c r="AI10" s="545" t="str">
        <f>IF(AK6&gt;=AK5,"○","×")</f>
        <v>○</v>
      </c>
      <c r="AJ10" s="244" t="str">
        <f>IF(D3="","", IF(COUNTIF(BA:BA,"未入力")=0,"○","×"))</f>
        <v/>
      </c>
      <c r="AK10" s="244" t="str">
        <f>IF(D3="","",IF(BG13=0,"",IF(COUNTIF(BD:BD,"未入力")=0,"○","×")))</f>
        <v/>
      </c>
      <c r="AL10" s="304"/>
      <c r="AM10" s="304"/>
      <c r="AN10" s="53"/>
      <c r="AO10" s="53"/>
      <c r="BB10" s="245"/>
      <c r="BC10" s="245"/>
      <c r="BD10" s="245"/>
      <c r="BE10" s="245"/>
      <c r="BF10" s="245"/>
      <c r="BG10" s="245"/>
      <c r="BH10" s="245"/>
      <c r="BI10" s="245"/>
      <c r="BJ10" s="246"/>
    </row>
    <row r="11" spans="1:69" ht="53.25" customHeight="1" thickBot="1">
      <c r="A11" s="625"/>
      <c r="B11" s="627" t="s">
        <v>2219</v>
      </c>
      <c r="C11" s="628"/>
      <c r="D11" s="628"/>
      <c r="E11" s="628"/>
      <c r="F11" s="629"/>
      <c r="G11" s="633" t="s">
        <v>27</v>
      </c>
      <c r="H11" s="635" t="s">
        <v>28</v>
      </c>
      <c r="I11" s="635"/>
      <c r="J11" s="636" t="s">
        <v>147</v>
      </c>
      <c r="K11" s="638" t="s">
        <v>30</v>
      </c>
      <c r="L11" s="640" t="s">
        <v>2225</v>
      </c>
      <c r="M11" s="988" t="s">
        <v>2470</v>
      </c>
      <c r="N11" s="988"/>
      <c r="O11" s="989" t="s">
        <v>148</v>
      </c>
      <c r="P11" s="643" t="s">
        <v>2220</v>
      </c>
      <c r="Q11" s="655" t="s">
        <v>2221</v>
      </c>
      <c r="R11" s="656"/>
      <c r="S11" s="656"/>
      <c r="T11" s="656"/>
      <c r="U11" s="656"/>
      <c r="V11" s="656"/>
      <c r="W11" s="656"/>
      <c r="X11" s="656"/>
      <c r="Y11" s="656"/>
      <c r="Z11" s="656"/>
      <c r="AA11" s="656"/>
      <c r="AB11" s="657"/>
      <c r="AC11" s="661" t="s">
        <v>2222</v>
      </c>
      <c r="AD11" s="663" t="s">
        <v>2473</v>
      </c>
      <c r="AE11" s="642" t="s">
        <v>149</v>
      </c>
      <c r="AF11" s="643"/>
      <c r="AG11" s="547" t="s">
        <v>150</v>
      </c>
      <c r="AH11" s="547" t="s">
        <v>151</v>
      </c>
      <c r="AI11" s="547" t="s">
        <v>152</v>
      </c>
      <c r="AJ11" s="285" t="s">
        <v>153</v>
      </c>
      <c r="AK11" s="287" t="s">
        <v>154</v>
      </c>
      <c r="AL11" s="305"/>
      <c r="AM11" s="305"/>
      <c r="AN11" s="247"/>
      <c r="AO11" s="557" t="s">
        <v>155</v>
      </c>
      <c r="AP11" s="558"/>
      <c r="AR11" s="28"/>
      <c r="AS11" s="28"/>
      <c r="AT11" s="28"/>
      <c r="AU11" s="28"/>
      <c r="AV11" s="28"/>
      <c r="AW11" s="28"/>
      <c r="AX11" s="28"/>
      <c r="AY11" s="28"/>
      <c r="AZ11" s="28"/>
      <c r="BA11" s="28"/>
      <c r="BB11" s="28"/>
      <c r="BC11" s="28"/>
      <c r="BD11" s="28"/>
      <c r="BE11" s="28"/>
      <c r="BF11" s="28"/>
      <c r="BG11" s="28"/>
      <c r="BH11" s="28"/>
      <c r="BI11" s="28"/>
      <c r="BN11" s="222"/>
      <c r="BO11" s="248"/>
      <c r="BP11"/>
    </row>
    <row r="12" spans="1:69" ht="182.25" customHeight="1" thickBot="1">
      <c r="A12" s="626"/>
      <c r="B12" s="630"/>
      <c r="C12" s="631"/>
      <c r="D12" s="631"/>
      <c r="E12" s="631"/>
      <c r="F12" s="632"/>
      <c r="G12" s="634"/>
      <c r="H12" s="249" t="s">
        <v>156</v>
      </c>
      <c r="I12" s="249" t="s">
        <v>157</v>
      </c>
      <c r="J12" s="637"/>
      <c r="K12" s="639"/>
      <c r="L12" s="641"/>
      <c r="M12" s="505" t="s">
        <v>2471</v>
      </c>
      <c r="N12" s="509" t="s">
        <v>2472</v>
      </c>
      <c r="O12" s="990"/>
      <c r="P12" s="991"/>
      <c r="Q12" s="658"/>
      <c r="R12" s="659"/>
      <c r="S12" s="659"/>
      <c r="T12" s="659"/>
      <c r="U12" s="659"/>
      <c r="V12" s="659"/>
      <c r="W12" s="659"/>
      <c r="X12" s="659"/>
      <c r="Y12" s="659"/>
      <c r="Z12" s="659"/>
      <c r="AA12" s="659"/>
      <c r="AB12" s="660"/>
      <c r="AC12" s="662"/>
      <c r="AD12" s="664"/>
      <c r="AE12" s="250" t="s">
        <v>158</v>
      </c>
      <c r="AF12" s="251" t="s">
        <v>2485</v>
      </c>
      <c r="AG12" s="252" t="s">
        <v>159</v>
      </c>
      <c r="AH12" s="253" t="s">
        <v>160</v>
      </c>
      <c r="AI12" s="253" t="s">
        <v>2502</v>
      </c>
      <c r="AJ12" s="286" t="s">
        <v>2223</v>
      </c>
      <c r="AK12" s="288" t="s">
        <v>2503</v>
      </c>
      <c r="AL12" s="644" t="s">
        <v>161</v>
      </c>
      <c r="AM12" s="645"/>
      <c r="AN12" s="326"/>
      <c r="AO12" s="254" t="s">
        <v>162</v>
      </c>
      <c r="AP12" s="254" t="s">
        <v>163</v>
      </c>
      <c r="AQ12" s="255" t="s">
        <v>164</v>
      </c>
      <c r="AR12" s="254" t="s">
        <v>165</v>
      </c>
      <c r="AS12" s="254" t="s">
        <v>166</v>
      </c>
      <c r="AT12" s="254" t="s">
        <v>167</v>
      </c>
      <c r="AU12" s="256" t="s">
        <v>2182</v>
      </c>
      <c r="AV12" s="256" t="s">
        <v>168</v>
      </c>
      <c r="AW12" s="254" t="s">
        <v>169</v>
      </c>
      <c r="AX12" s="256" t="s">
        <v>2194</v>
      </c>
      <c r="AY12" s="256" t="s">
        <v>170</v>
      </c>
      <c r="AZ12" s="254" t="s">
        <v>171</v>
      </c>
      <c r="BA12" s="256" t="s">
        <v>172</v>
      </c>
      <c r="BB12" s="256" t="s">
        <v>173</v>
      </c>
      <c r="BC12" s="254" t="s">
        <v>174</v>
      </c>
      <c r="BD12" s="256" t="s">
        <v>175</v>
      </c>
      <c r="BE12" s="256" t="s">
        <v>2193</v>
      </c>
      <c r="BF12" s="257" t="s">
        <v>176</v>
      </c>
      <c r="BG12"/>
      <c r="BH12"/>
      <c r="BI12"/>
      <c r="BJ12"/>
      <c r="BK12"/>
      <c r="BL12"/>
      <c r="BM12"/>
      <c r="BN12"/>
      <c r="BO12"/>
      <c r="BP12"/>
    </row>
    <row r="13" spans="1:69" ht="109.95" customHeight="1" thickBot="1">
      <c r="A13" s="306">
        <v>1</v>
      </c>
      <c r="B13" s="646" t="str">
        <f>IF(基本情報入力シート!B35="","",基本情報入力シート!B35)</f>
        <v/>
      </c>
      <c r="C13" s="647"/>
      <c r="D13" s="647"/>
      <c r="E13" s="647"/>
      <c r="F13" s="648"/>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53" t="str">
        <f>IF(基本情報入力シート!AF35=0, "",基本情報入力シート!AF35)</f>
        <v/>
      </c>
      <c r="M13" s="580"/>
      <c r="N13" s="517" t="str">
        <f>IFERROR(VLOOKUP(K13,【参考】数式用!$A$2:$F$57,MATCH(M13,【参考】数式用!$C$3:$F$3,0)+2,0),"")</f>
        <v/>
      </c>
      <c r="O13" s="506"/>
      <c r="P13" s="549" t="str">
        <f>IFERROR(VLOOKUP(K13,【参考】数式用!$A$2:$F$57,MATCH(O13,【参考】数式用!$C$3:$F$3,0)+2,0),"")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0" t="str">
        <f>IFERROR(ROUNDDOWN(ROUND(L13*(P13-N13),0),0)*AA13,"")</f>
        <v/>
      </c>
      <c r="AE13" s="310" t="str">
        <f>IFERROR(ROUNDDOWN(ROUNDDOWN(ROUND(L13*VLOOKUP(K13,【参考】数式用!$A$4:$F$57,MATCH("処遇改善加算Ⅳ",【参考】数式用!$C$3:$F$3,0)+2,0),0),0)*AA13*0.5,0), "")</f>
        <v/>
      </c>
      <c r="AF13" s="321"/>
      <c r="AG13" s="322"/>
      <c r="AH13" s="322"/>
      <c r="AI13" s="321"/>
      <c r="AJ13" s="323"/>
      <c r="AK13" s="329"/>
      <c r="AL13" s="327"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8"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8"/>
      <c r="AO13" s="551" t="str">
        <f>IFERROR(VLOOKUP(K13,【参考】数式用!$A$2:$N$57,14,FALSE),"")</f>
        <v/>
      </c>
      <c r="AP13" s="551" t="str">
        <f t="shared" ref="AP13:AP44" si="1">IF(AND(K13&lt;&gt;"",AO13="加算対象"),"N列に色付け","")</f>
        <v/>
      </c>
      <c r="AQ13" s="556" t="str">
        <f t="shared" ref="AQ13:AQ44" si="2">IF(AND(AE13&lt;&gt;0,AE13&lt;&gt;"",AO13="加算対象"),IF(AF13="○","入力済","未入力"),"")</f>
        <v/>
      </c>
      <c r="AR13" s="534" t="str">
        <f t="shared" ref="AR13:AR44" si="3">IF(AND(O13&lt;&gt;"", AG13="",AO13="加算対象"), "未入力", "入力済")</f>
        <v>入力済</v>
      </c>
      <c r="AS13" s="551" t="str">
        <f>IF(AND(O13&lt;&gt;"", O13&lt;&gt;"処遇改善加算Ⅳ",AO13="加算対象"),"AH列に色付け","")</f>
        <v/>
      </c>
      <c r="AT13" s="534" t="str">
        <f t="shared" ref="AT13:AT44" si="4">IF(AND(O13&lt;&gt;"", O13&lt;&gt;"処遇改善加算Ⅳ", AH13=""), "未入力", "入力済")</f>
        <v>入力済</v>
      </c>
      <c r="AU13" s="534" t="str">
        <f>IF(OR(O13="処遇改善加算Ⅰ",O13="処遇改善加算Ⅱ"),"対象","非対象")</f>
        <v>非対象</v>
      </c>
      <c r="AV13" s="534" t="str">
        <f t="shared" ref="AV13:AV44" si="5">IF(AND(AO13="加算対象",O13&lt;&gt;"処遇改善加算Ⅲ",O13&lt;&gt;"処遇改善加算Ⅳ", O13&lt;&gt;"", AU13&lt;&gt;"対象外"), 1,"")</f>
        <v/>
      </c>
      <c r="AW13" s="551" t="str">
        <f t="shared" ref="AW13:AW44" si="6">IF(AND(AV13=1, OR(AI13=0,AI13=""),AO13="加算対象"),"AH列に色付け","")</f>
        <v/>
      </c>
      <c r="AX13" s="551" t="str">
        <f>IF(AND(O13&lt;&gt;"", O13&lt;&gt;"処遇改善加算Ⅲ", O13&lt;&gt;"処遇改善加算Ⅳ",O13&lt;&gt;"処遇改善加算"), "対象", "")</f>
        <v/>
      </c>
      <c r="AY13" s="534" t="str">
        <f>IFERROR(VLOOKUP(K13,【参考】数式用!$AR$5:$AS$39,2, FALSE), "")</f>
        <v/>
      </c>
      <c r="AZ13" s="551" t="str">
        <f>IF(AND(AO13="加算対象",O13="処遇改善加算Ⅰ"),"AJ列に色付け","")</f>
        <v/>
      </c>
      <c r="BA13" s="555" t="str">
        <f t="shared" ref="BA13:BA44" si="7">IF(AND(O13="処遇改善加算Ⅰ", AJ13=""), "未入力","入力済")</f>
        <v>入力済</v>
      </c>
      <c r="BB13" s="534" t="str">
        <f>IFERROR(VLOOKUP(K13,【参考】数式用!$AX$3:$AY$59, 2, FALSE), "")</f>
        <v/>
      </c>
      <c r="BC13" s="551" t="str">
        <f>IF(COUNTIF(AG13:AI13,"*令和８年度特例要件を*")&gt;0,"AK列に色付け","")</f>
        <v/>
      </c>
      <c r="BD13" s="555" t="str">
        <f t="shared" ref="BD13:BD44" si="8">IF(AND(COUNTIF(AG13:AI13,"*令和８年度特例要件を*")&gt;0,AK13=""), "未入力","入力済")</f>
        <v>入力済</v>
      </c>
      <c r="BE13" s="552" t="str">
        <f>IF(BC13="AK列に色付け","入力必要","")</f>
        <v/>
      </c>
      <c r="BF13" s="552" t="str">
        <f t="shared" ref="BF13:BF44" si="9">G13</f>
        <v/>
      </c>
      <c r="BG13" s="28">
        <f>IF(COUNTIF(BE:BE,"*入力必要*"),1,0)</f>
        <v>0</v>
      </c>
      <c r="BH13"/>
      <c r="BI13"/>
      <c r="BJ13"/>
      <c r="BK13"/>
      <c r="BL13"/>
      <c r="BM13"/>
      <c r="BN13" s="259"/>
      <c r="BO13"/>
      <c r="BP13"/>
    </row>
    <row r="14" spans="1:69" s="260" customFormat="1" ht="109.95" customHeight="1" thickBot="1">
      <c r="A14" s="306">
        <v>2</v>
      </c>
      <c r="B14" s="646" t="str">
        <f>IF(基本情報入力シート!B36="","",基本情報入力シート!B36)</f>
        <v/>
      </c>
      <c r="C14" s="647"/>
      <c r="D14" s="647"/>
      <c r="E14" s="647"/>
      <c r="F14" s="648"/>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53" t="str">
        <f>IF(基本情報入力シート!AF36=0, "",基本情報入力シート!AF36)</f>
        <v/>
      </c>
      <c r="M14" s="581"/>
      <c r="N14" s="517" t="str">
        <f>IFERROR(VLOOKUP(K14,【参考】数式用!$A$2:$F$57,MATCH(M14,【参考】数式用!$C$3:$F$3,0)+2,0),"")</f>
        <v/>
      </c>
      <c r="O14" s="506"/>
      <c r="P14" s="549" t="str">
        <f>IFERROR(VLOOKUP(K14,【参考】数式用!$A$2:$F$57,MATCH(O14,【参考】数式用!$C$3:$F$3,0)+2,0),"")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0" t="str">
        <f t="shared" ref="AD14:AD77" si="12">IFERROR(ROUNDDOWN(ROUND(L14*(P14-N14),0),0)*AA14,"")</f>
        <v/>
      </c>
      <c r="AE14" s="310" t="str">
        <f>IFERROR(ROUNDDOWN(ROUNDDOWN(ROUND(L14*VLOOKUP(K14,【参考】数式用!$A$4:$F$57,MATCH("処遇改善加算Ⅳ",【参考】数式用!$C$3:$F$3,0)+2,0),0),0)*AA14*0.5,0), "")</f>
        <v/>
      </c>
      <c r="AF14" s="321"/>
      <c r="AG14" s="322"/>
      <c r="AH14" s="322"/>
      <c r="AI14" s="321"/>
      <c r="AJ14" s="323"/>
      <c r="AK14" s="329"/>
      <c r="AL14" s="327" t="str">
        <f t="shared" si="0"/>
        <v/>
      </c>
      <c r="AM14" s="328"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8"/>
      <c r="AO14" s="551" t="str">
        <f>IFERROR(VLOOKUP(K14,【参考】数式用!$A$2:$N$57,14,FALSE),"")</f>
        <v/>
      </c>
      <c r="AP14" s="551" t="str">
        <f t="shared" si="1"/>
        <v/>
      </c>
      <c r="AQ14" s="556" t="str">
        <f t="shared" si="2"/>
        <v/>
      </c>
      <c r="AR14" s="534" t="str">
        <f t="shared" si="3"/>
        <v>入力済</v>
      </c>
      <c r="AS14" s="551" t="str">
        <f t="shared" ref="AS14:AS77" si="13">IF(AND(O14&lt;&gt;"", O14&lt;&gt;"処遇改善加算Ⅳ",AO14="加算対象"),"AH列に色付け","")</f>
        <v/>
      </c>
      <c r="AT14" s="534" t="str">
        <f t="shared" si="4"/>
        <v>入力済</v>
      </c>
      <c r="AU14" s="534" t="str">
        <f t="shared" ref="AU14:AU45" si="14">IF(OR(O14="処遇改善加算Ⅰ",O14="処遇改善加算Ⅱ"),"対象","")</f>
        <v/>
      </c>
      <c r="AV14" s="534" t="str">
        <f t="shared" si="5"/>
        <v/>
      </c>
      <c r="AW14" s="551" t="str">
        <f t="shared" si="6"/>
        <v/>
      </c>
      <c r="AX14" s="551" t="str">
        <f t="shared" ref="AX14:AX77" si="15">IF(AND(O14&lt;&gt;"", O14&lt;&gt;"処遇改善加算Ⅲ", O14&lt;&gt;"処遇改善加算Ⅳ",O14&lt;&gt;"処遇改善加算"), "対象", "")</f>
        <v/>
      </c>
      <c r="AY14" s="534" t="str">
        <f>IFERROR(VLOOKUP(K14,【参考】数式用!$AR$5:$AS$39,2, FALSE), "")</f>
        <v/>
      </c>
      <c r="AZ14" s="551" t="str">
        <f t="shared" ref="AZ14:AZ77" si="16">IF(AND(AO14="加算対象",O14="処遇改善加算Ⅰ"),"AJ列に色付け","")</f>
        <v/>
      </c>
      <c r="BA14" s="555" t="str">
        <f t="shared" si="7"/>
        <v>入力済</v>
      </c>
      <c r="BB14" s="534" t="str">
        <f>IFERROR(VLOOKUP(K14,【参考】数式用!$AX$3:$AY$59, 2, FALSE), "")</f>
        <v/>
      </c>
      <c r="BC14" s="551" t="str">
        <f t="shared" ref="BC14:BC77" si="17">IF(COUNTIF(AG14:AI14,"*令和８年度特例要件を*")&gt;0,"AK列に色付け","")</f>
        <v/>
      </c>
      <c r="BD14" s="555" t="str">
        <f t="shared" si="8"/>
        <v>入力済</v>
      </c>
      <c r="BE14" s="552" t="str">
        <f t="shared" ref="BE14:BE77" si="18">IF(BC14="AK列に色付け","入力必要","")</f>
        <v/>
      </c>
      <c r="BF14" s="552" t="str">
        <f t="shared" si="9"/>
        <v/>
      </c>
      <c r="BG14" s="221"/>
      <c r="BH14" s="221"/>
      <c r="BI14" s="221"/>
      <c r="BJ14" s="221"/>
      <c r="BK14" s="221"/>
      <c r="BL14" s="221"/>
      <c r="BM14" s="221"/>
      <c r="BN14" s="221"/>
      <c r="BO14" s="221"/>
      <c r="BP14" s="222"/>
      <c r="BQ14"/>
    </row>
    <row r="15" spans="1:69" s="260" customFormat="1" ht="109.95" customHeight="1" thickBot="1">
      <c r="A15" s="306">
        <v>3</v>
      </c>
      <c r="B15" s="646" t="str">
        <f>IF(基本情報入力シート!B37="","",基本情報入力シート!B37)</f>
        <v/>
      </c>
      <c r="C15" s="647"/>
      <c r="D15" s="647"/>
      <c r="E15" s="647"/>
      <c r="F15" s="648"/>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53" t="str">
        <f>IF(基本情報入力シート!AF37=0, "",基本情報入力シート!AF37)</f>
        <v/>
      </c>
      <c r="M15" s="581"/>
      <c r="N15" s="517" t="str">
        <f>IFERROR(VLOOKUP(K15,【参考】数式用!$A$2:$F$57,MATCH(M15,【参考】数式用!$C$3:$F$3,0)+2,0),"")</f>
        <v/>
      </c>
      <c r="O15" s="506"/>
      <c r="P15" s="549" t="str">
        <f>IFERROR(VLOOKUP(K15,【参考】数式用!$A$2:$F$57,MATCH(O15,【参考】数式用!$C$3:$F$3,0)+2,0),"")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0" t="str">
        <f t="shared" si="12"/>
        <v/>
      </c>
      <c r="AE15" s="310" t="str">
        <f>IFERROR(ROUNDDOWN(ROUNDDOWN(ROUND(L15*VLOOKUP(K15,【参考】数式用!$A$4:$F$57,MATCH("処遇改善加算Ⅳ",【参考】数式用!$C$3:$F$3,0)+2,0),0),0)*AA15*0.5,0), "")</f>
        <v/>
      </c>
      <c r="AF15" s="321"/>
      <c r="AG15" s="322"/>
      <c r="AH15" s="322"/>
      <c r="AI15" s="321"/>
      <c r="AJ15" s="323"/>
      <c r="AK15" s="329"/>
      <c r="AL15" s="327" t="str">
        <f t="shared" si="0"/>
        <v/>
      </c>
      <c r="AM15" s="328"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8"/>
      <c r="AO15" s="551" t="str">
        <f>IFERROR(VLOOKUP(K15,【参考】数式用!$A$2:$N$57,14,FALSE),"")</f>
        <v/>
      </c>
      <c r="AP15" s="551" t="str">
        <f t="shared" si="1"/>
        <v/>
      </c>
      <c r="AQ15" s="556" t="str">
        <f t="shared" si="2"/>
        <v/>
      </c>
      <c r="AR15" s="534" t="str">
        <f t="shared" si="3"/>
        <v>入力済</v>
      </c>
      <c r="AS15" s="551" t="str">
        <f t="shared" si="13"/>
        <v/>
      </c>
      <c r="AT15" s="534" t="str">
        <f t="shared" si="4"/>
        <v>入力済</v>
      </c>
      <c r="AU15" s="534" t="str">
        <f t="shared" si="14"/>
        <v/>
      </c>
      <c r="AV15" s="534" t="str">
        <f t="shared" si="5"/>
        <v/>
      </c>
      <c r="AW15" s="551" t="str">
        <f t="shared" si="6"/>
        <v/>
      </c>
      <c r="AX15" s="551" t="str">
        <f t="shared" si="15"/>
        <v/>
      </c>
      <c r="AY15" s="534" t="str">
        <f>IFERROR(VLOOKUP(K15,【参考】数式用!$AR$5:$AS$39,2, FALSE), "")</f>
        <v/>
      </c>
      <c r="AZ15" s="551" t="str">
        <f t="shared" si="16"/>
        <v/>
      </c>
      <c r="BA15" s="555" t="str">
        <f t="shared" si="7"/>
        <v>入力済</v>
      </c>
      <c r="BB15" s="534" t="str">
        <f>IFERROR(VLOOKUP(K15,【参考】数式用!$AX$3:$AY$59, 2, FALSE), "")</f>
        <v/>
      </c>
      <c r="BC15" s="551" t="str">
        <f t="shared" si="17"/>
        <v/>
      </c>
      <c r="BD15" s="555" t="str">
        <f t="shared" si="8"/>
        <v>入力済</v>
      </c>
      <c r="BE15" s="552" t="str">
        <f t="shared" si="18"/>
        <v/>
      </c>
      <c r="BF15" s="552" t="str">
        <f t="shared" si="9"/>
        <v/>
      </c>
      <c r="BG15" s="221"/>
      <c r="BH15" s="221"/>
      <c r="BI15" s="221"/>
      <c r="BJ15" s="221"/>
      <c r="BK15" s="221"/>
      <c r="BL15" s="221"/>
      <c r="BM15" s="221"/>
      <c r="BN15" s="221"/>
      <c r="BO15" s="221"/>
      <c r="BP15" s="222"/>
      <c r="BQ15"/>
    </row>
    <row r="16" spans="1:69" s="260" customFormat="1" ht="109.95" customHeight="1" thickBot="1">
      <c r="A16" s="306">
        <v>3</v>
      </c>
      <c r="B16" s="646" t="str">
        <f>IF(基本情報入力シート!B38="","",基本情報入力シート!B38)</f>
        <v/>
      </c>
      <c r="C16" s="647"/>
      <c r="D16" s="647"/>
      <c r="E16" s="647"/>
      <c r="F16" s="648"/>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53" t="str">
        <f>IF(基本情報入力シート!AF38=0, "",基本情報入力シート!AF38)</f>
        <v/>
      </c>
      <c r="M16" s="581"/>
      <c r="N16" s="517" t="str">
        <f>IFERROR(VLOOKUP(K16,【参考】数式用!$A$2:$F$57,MATCH(M16,【参考】数式用!$C$3:$F$3,0)+2,0),"")</f>
        <v/>
      </c>
      <c r="O16" s="506"/>
      <c r="P16" s="549" t="str">
        <f>IFERROR(VLOOKUP(K16,【参考】数式用!$A$2:$F$57,MATCH(O16,【参考】数式用!$C$3:$F$3,0)+2,0),"")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0" t="str">
        <f t="shared" si="12"/>
        <v/>
      </c>
      <c r="AE16" s="310" t="str">
        <f>IFERROR(ROUNDDOWN(ROUNDDOWN(ROUND(L16*VLOOKUP(K16,【参考】数式用!$A$4:$F$57,MATCH("処遇改善加算Ⅳ",【参考】数式用!$C$3:$F$3,0)+2,0),0),0)*AA16*0.5,0), "")</f>
        <v/>
      </c>
      <c r="AF16" s="321"/>
      <c r="AG16" s="322"/>
      <c r="AH16" s="322"/>
      <c r="AI16" s="321"/>
      <c r="AJ16" s="323"/>
      <c r="AK16" s="329"/>
      <c r="AL16" s="327" t="str">
        <f t="shared" si="0"/>
        <v/>
      </c>
      <c r="AM16" s="328" t="str">
        <f t="shared" si="19"/>
        <v/>
      </c>
      <c r="AN16" s="258"/>
      <c r="AO16" s="551" t="str">
        <f>IFERROR(VLOOKUP(K16,【参考】数式用!$A$2:$N$57,14,FALSE),"")</f>
        <v/>
      </c>
      <c r="AP16" s="551" t="str">
        <f t="shared" si="1"/>
        <v/>
      </c>
      <c r="AQ16" s="556" t="str">
        <f t="shared" si="2"/>
        <v/>
      </c>
      <c r="AR16" s="534" t="str">
        <f t="shared" si="3"/>
        <v>入力済</v>
      </c>
      <c r="AS16" s="551" t="str">
        <f t="shared" si="13"/>
        <v/>
      </c>
      <c r="AT16" s="534" t="str">
        <f t="shared" si="4"/>
        <v>入力済</v>
      </c>
      <c r="AU16" s="534" t="str">
        <f t="shared" si="14"/>
        <v/>
      </c>
      <c r="AV16" s="534" t="str">
        <f t="shared" si="5"/>
        <v/>
      </c>
      <c r="AW16" s="551" t="str">
        <f t="shared" si="6"/>
        <v/>
      </c>
      <c r="AX16" s="551" t="str">
        <f t="shared" si="15"/>
        <v/>
      </c>
      <c r="AY16" s="534" t="str">
        <f>IFERROR(VLOOKUP(K16,【参考】数式用!$AR$5:$AS$39,2, FALSE), "")</f>
        <v/>
      </c>
      <c r="AZ16" s="551" t="str">
        <f t="shared" si="16"/>
        <v/>
      </c>
      <c r="BA16" s="555" t="str">
        <f t="shared" si="7"/>
        <v>入力済</v>
      </c>
      <c r="BB16" s="534" t="str">
        <f>IFERROR(VLOOKUP(K16,【参考】数式用!$AX$3:$AY$59, 2, FALSE), "")</f>
        <v/>
      </c>
      <c r="BC16" s="551" t="str">
        <f t="shared" si="17"/>
        <v/>
      </c>
      <c r="BD16" s="555" t="str">
        <f t="shared" si="8"/>
        <v>入力済</v>
      </c>
      <c r="BE16" s="552" t="str">
        <f t="shared" si="18"/>
        <v/>
      </c>
      <c r="BF16" s="552" t="str">
        <f t="shared" si="9"/>
        <v/>
      </c>
      <c r="BG16" s="221"/>
      <c r="BH16" s="221"/>
      <c r="BI16" s="221"/>
      <c r="BJ16" s="221"/>
      <c r="BK16" s="221"/>
      <c r="BL16" s="221"/>
      <c r="BM16" s="221"/>
      <c r="BN16" s="221"/>
      <c r="BO16" s="221"/>
      <c r="BP16" s="222"/>
      <c r="BQ16"/>
    </row>
    <row r="17" spans="1:69" s="260" customFormat="1" ht="109.95" customHeight="1" thickBot="1">
      <c r="A17" s="306">
        <v>4</v>
      </c>
      <c r="B17" s="646" t="str">
        <f>IF(基本情報入力シート!B39="","",基本情報入力シート!B39)</f>
        <v/>
      </c>
      <c r="C17" s="647"/>
      <c r="D17" s="647"/>
      <c r="E17" s="647"/>
      <c r="F17" s="648"/>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53" t="str">
        <f>IF(基本情報入力シート!AF39=0, "",基本情報入力シート!AF39)</f>
        <v/>
      </c>
      <c r="M17" s="581"/>
      <c r="N17" s="517" t="str">
        <f>IFERROR(VLOOKUP(K17,【参考】数式用!$A$2:$F$57,MATCH(M17,【参考】数式用!$C$3:$F$3,0)+2,0),"")</f>
        <v/>
      </c>
      <c r="O17" s="506"/>
      <c r="P17" s="549" t="str">
        <f>IFERROR(VLOOKUP(K17,【参考】数式用!$A$2:$F$57,MATCH(O17,【参考】数式用!$C$3:$F$3,0)+2,0),"")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0" t="str">
        <f t="shared" si="12"/>
        <v/>
      </c>
      <c r="AE17" s="310" t="str">
        <f>IFERROR(ROUNDDOWN(ROUNDDOWN(ROUND(L17*VLOOKUP(K17,【参考】数式用!$A$4:$F$57,MATCH("処遇改善加算Ⅳ",【参考】数式用!$C$3:$F$3,0)+2,0),0),0)*AA17*0.5,0), "")</f>
        <v/>
      </c>
      <c r="AF17" s="321"/>
      <c r="AG17" s="322"/>
      <c r="AH17" s="322"/>
      <c r="AI17" s="321"/>
      <c r="AJ17" s="323"/>
      <c r="AK17" s="329"/>
      <c r="AL17" s="327" t="str">
        <f t="shared" si="0"/>
        <v/>
      </c>
      <c r="AM17" s="328" t="str">
        <f t="shared" si="19"/>
        <v/>
      </c>
      <c r="AN17" s="258"/>
      <c r="AO17" s="551" t="str">
        <f>IFERROR(VLOOKUP(K17,【参考】数式用!$A$2:$N$57,14,FALSE),"")</f>
        <v/>
      </c>
      <c r="AP17" s="551" t="str">
        <f t="shared" si="1"/>
        <v/>
      </c>
      <c r="AQ17" s="556" t="str">
        <f t="shared" si="2"/>
        <v/>
      </c>
      <c r="AR17" s="534" t="str">
        <f t="shared" si="3"/>
        <v>入力済</v>
      </c>
      <c r="AS17" s="551" t="str">
        <f t="shared" si="13"/>
        <v/>
      </c>
      <c r="AT17" s="534" t="str">
        <f t="shared" si="4"/>
        <v>入力済</v>
      </c>
      <c r="AU17" s="534" t="str">
        <f t="shared" si="14"/>
        <v/>
      </c>
      <c r="AV17" s="534" t="str">
        <f t="shared" si="5"/>
        <v/>
      </c>
      <c r="AW17" s="551" t="str">
        <f t="shared" si="6"/>
        <v/>
      </c>
      <c r="AX17" s="551" t="str">
        <f t="shared" si="15"/>
        <v/>
      </c>
      <c r="AY17" s="534" t="str">
        <f>IFERROR(VLOOKUP(K17,【参考】数式用!$AR$5:$AS$39,2, FALSE), "")</f>
        <v/>
      </c>
      <c r="AZ17" s="551" t="str">
        <f t="shared" si="16"/>
        <v/>
      </c>
      <c r="BA17" s="555" t="str">
        <f t="shared" si="7"/>
        <v>入力済</v>
      </c>
      <c r="BB17" s="534" t="str">
        <f>IFERROR(VLOOKUP(K17,【参考】数式用!$AX$3:$AY$59, 2, FALSE), "")</f>
        <v/>
      </c>
      <c r="BC17" s="551" t="str">
        <f t="shared" si="17"/>
        <v/>
      </c>
      <c r="BD17" s="555" t="str">
        <f t="shared" si="8"/>
        <v>入力済</v>
      </c>
      <c r="BE17" s="552" t="str">
        <f t="shared" si="18"/>
        <v/>
      </c>
      <c r="BF17" s="552" t="str">
        <f t="shared" si="9"/>
        <v/>
      </c>
      <c r="BG17" s="221"/>
      <c r="BH17" s="221"/>
      <c r="BI17" s="221"/>
      <c r="BJ17" s="221"/>
      <c r="BK17" s="221"/>
      <c r="BL17" s="221"/>
      <c r="BM17" s="221"/>
      <c r="BN17" s="221"/>
      <c r="BO17" s="221"/>
      <c r="BP17" s="222"/>
      <c r="BQ17"/>
    </row>
    <row r="18" spans="1:69" s="260" customFormat="1" ht="109.95" customHeight="1" thickBot="1">
      <c r="A18" s="306">
        <v>5</v>
      </c>
      <c r="B18" s="646" t="str">
        <f>IF(基本情報入力シート!B40="","",基本情報入力シート!B40)</f>
        <v/>
      </c>
      <c r="C18" s="647"/>
      <c r="D18" s="647"/>
      <c r="E18" s="647"/>
      <c r="F18" s="648"/>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53" t="str">
        <f>IF(基本情報入力シート!AF40=0, "",基本情報入力シート!AF40)</f>
        <v/>
      </c>
      <c r="M18" s="581"/>
      <c r="N18" s="517" t="str">
        <f>IFERROR(VLOOKUP(K18,【参考】数式用!$A$2:$F$57,MATCH(M18,【参考】数式用!$C$3:$F$3,0)+2,0),"")</f>
        <v/>
      </c>
      <c r="O18" s="506"/>
      <c r="P18" s="549" t="str">
        <f>IFERROR(VLOOKUP(K18,【参考】数式用!$A$2:$F$57,MATCH(O18,【参考】数式用!$C$3:$F$3,0)+2,0),"")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0" t="str">
        <f t="shared" si="12"/>
        <v/>
      </c>
      <c r="AE18" s="310" t="str">
        <f>IFERROR(ROUNDDOWN(ROUNDDOWN(ROUND(L18*VLOOKUP(K18,【参考】数式用!$A$4:$F$57,MATCH("処遇改善加算Ⅳ",【参考】数式用!$C$3:$F$3,0)+2,0),0),0)*AA18*0.5,0), "")</f>
        <v/>
      </c>
      <c r="AF18" s="321"/>
      <c r="AG18" s="322"/>
      <c r="AH18" s="322"/>
      <c r="AI18" s="321"/>
      <c r="AJ18" s="323"/>
      <c r="AK18" s="329"/>
      <c r="AL18" s="327" t="str">
        <f t="shared" si="0"/>
        <v/>
      </c>
      <c r="AM18" s="328" t="str">
        <f t="shared" si="19"/>
        <v/>
      </c>
      <c r="AN18" s="258"/>
      <c r="AO18" s="551" t="str">
        <f>IFERROR(VLOOKUP(K18,【参考】数式用!$A$2:$N$57,14,FALSE),"")</f>
        <v/>
      </c>
      <c r="AP18" s="551" t="str">
        <f t="shared" si="1"/>
        <v/>
      </c>
      <c r="AQ18" s="556" t="str">
        <f t="shared" si="2"/>
        <v/>
      </c>
      <c r="AR18" s="534" t="str">
        <f t="shared" si="3"/>
        <v>入力済</v>
      </c>
      <c r="AS18" s="551" t="str">
        <f t="shared" si="13"/>
        <v/>
      </c>
      <c r="AT18" s="534" t="str">
        <f t="shared" si="4"/>
        <v>入力済</v>
      </c>
      <c r="AU18" s="534" t="str">
        <f t="shared" si="14"/>
        <v/>
      </c>
      <c r="AV18" s="534" t="str">
        <f t="shared" si="5"/>
        <v/>
      </c>
      <c r="AW18" s="551" t="str">
        <f t="shared" si="6"/>
        <v/>
      </c>
      <c r="AX18" s="551" t="str">
        <f t="shared" si="15"/>
        <v/>
      </c>
      <c r="AY18" s="534" t="str">
        <f>IFERROR(VLOOKUP(K18,【参考】数式用!$AR$5:$AS$39,2, FALSE), "")</f>
        <v/>
      </c>
      <c r="AZ18" s="551" t="str">
        <f t="shared" si="16"/>
        <v/>
      </c>
      <c r="BA18" s="555" t="str">
        <f t="shared" si="7"/>
        <v>入力済</v>
      </c>
      <c r="BB18" s="534" t="str">
        <f>IFERROR(VLOOKUP(K18,【参考】数式用!$AX$3:$AY$59, 2, FALSE), "")</f>
        <v/>
      </c>
      <c r="BC18" s="551" t="str">
        <f t="shared" si="17"/>
        <v/>
      </c>
      <c r="BD18" s="555" t="str">
        <f t="shared" si="8"/>
        <v>入力済</v>
      </c>
      <c r="BE18" s="552" t="str">
        <f t="shared" si="18"/>
        <v/>
      </c>
      <c r="BF18" s="552" t="str">
        <f t="shared" si="9"/>
        <v/>
      </c>
    </row>
    <row r="19" spans="1:69" s="260" customFormat="1" ht="109.95" customHeight="1" thickBot="1">
      <c r="A19" s="306">
        <v>6</v>
      </c>
      <c r="B19" s="646" t="str">
        <f>IF(基本情報入力シート!B41="","",基本情報入力シート!B41)</f>
        <v/>
      </c>
      <c r="C19" s="647"/>
      <c r="D19" s="647"/>
      <c r="E19" s="647"/>
      <c r="F19" s="648"/>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53" t="str">
        <f>IF(基本情報入力シート!AF41=0, "",基本情報入力シート!AF41)</f>
        <v/>
      </c>
      <c r="M19" s="581"/>
      <c r="N19" s="517" t="str">
        <f>IFERROR(VLOOKUP(K19,【参考】数式用!$A$2:$F$57,MATCH(M19,【参考】数式用!$C$3:$F$3,0)+2,0),"")</f>
        <v/>
      </c>
      <c r="O19" s="506"/>
      <c r="P19" s="549" t="str">
        <f>IFERROR(VLOOKUP(K19,【参考】数式用!$A$2:$F$57,MATCH(O19,【参考】数式用!$C$3:$F$3,0)+2,0),"")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0" t="str">
        <f t="shared" si="12"/>
        <v/>
      </c>
      <c r="AE19" s="310" t="str">
        <f>IFERROR(ROUNDDOWN(ROUNDDOWN(ROUND(L19*VLOOKUP(K19,【参考】数式用!$A$4:$F$57,MATCH("処遇改善加算Ⅳ",【参考】数式用!$C$3:$F$3,0)+2,0),0),0)*AA19*0.5,0), "")</f>
        <v/>
      </c>
      <c r="AF19" s="321"/>
      <c r="AG19" s="322"/>
      <c r="AH19" s="322"/>
      <c r="AI19" s="321"/>
      <c r="AJ19" s="323"/>
      <c r="AK19" s="329"/>
      <c r="AL19" s="327" t="str">
        <f t="shared" si="0"/>
        <v/>
      </c>
      <c r="AM19" s="328" t="str">
        <f t="shared" si="19"/>
        <v/>
      </c>
      <c r="AN19" s="258"/>
      <c r="AO19" s="551" t="str">
        <f>IFERROR(VLOOKUP(K19,【参考】数式用!$A$2:$N$57,14,FALSE),"")</f>
        <v/>
      </c>
      <c r="AP19" s="551" t="str">
        <f t="shared" si="1"/>
        <v/>
      </c>
      <c r="AQ19" s="556" t="str">
        <f t="shared" si="2"/>
        <v/>
      </c>
      <c r="AR19" s="534" t="str">
        <f t="shared" si="3"/>
        <v>入力済</v>
      </c>
      <c r="AS19" s="551" t="str">
        <f t="shared" si="13"/>
        <v/>
      </c>
      <c r="AT19" s="534" t="str">
        <f t="shared" si="4"/>
        <v>入力済</v>
      </c>
      <c r="AU19" s="534" t="str">
        <f t="shared" si="14"/>
        <v/>
      </c>
      <c r="AV19" s="534" t="str">
        <f t="shared" si="5"/>
        <v/>
      </c>
      <c r="AW19" s="551" t="str">
        <f t="shared" si="6"/>
        <v/>
      </c>
      <c r="AX19" s="551" t="str">
        <f t="shared" si="15"/>
        <v/>
      </c>
      <c r="AY19" s="534" t="str">
        <f>IFERROR(VLOOKUP(K19,【参考】数式用!$AR$5:$AS$39,2, FALSE), "")</f>
        <v/>
      </c>
      <c r="AZ19" s="551" t="str">
        <f t="shared" si="16"/>
        <v/>
      </c>
      <c r="BA19" s="555" t="str">
        <f t="shared" si="7"/>
        <v>入力済</v>
      </c>
      <c r="BB19" s="534" t="str">
        <f>IFERROR(VLOOKUP(K19,【参考】数式用!$AX$3:$AY$59, 2, FALSE), "")</f>
        <v/>
      </c>
      <c r="BC19" s="551" t="str">
        <f t="shared" si="17"/>
        <v/>
      </c>
      <c r="BD19" s="555" t="str">
        <f t="shared" si="8"/>
        <v>入力済</v>
      </c>
      <c r="BE19" s="552" t="str">
        <f t="shared" si="18"/>
        <v/>
      </c>
      <c r="BF19" s="552" t="str">
        <f t="shared" si="9"/>
        <v/>
      </c>
    </row>
    <row r="20" spans="1:69" s="260" customFormat="1" ht="109.95" customHeight="1" thickBot="1">
      <c r="A20" s="306">
        <v>7</v>
      </c>
      <c r="B20" s="646" t="str">
        <f>IF(基本情報入力シート!B42="","",基本情報入力シート!B42)</f>
        <v/>
      </c>
      <c r="C20" s="647"/>
      <c r="D20" s="647"/>
      <c r="E20" s="647"/>
      <c r="F20" s="648"/>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53" t="str">
        <f>IF(基本情報入力シート!AF42=0, "",基本情報入力シート!AF42)</f>
        <v/>
      </c>
      <c r="M20" s="581"/>
      <c r="N20" s="517" t="str">
        <f>IFERROR(VLOOKUP(K20,【参考】数式用!$A$2:$F$57,MATCH(M20,【参考】数式用!$C$3:$F$3,0)+2,0),"")</f>
        <v/>
      </c>
      <c r="O20" s="506"/>
      <c r="P20" s="549" t="str">
        <f>IFERROR(VLOOKUP(K20,【参考】数式用!$A$2:$F$57,MATCH(O20,【参考】数式用!$C$3:$F$3,0)+2,0),"")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0" t="str">
        <f t="shared" si="12"/>
        <v/>
      </c>
      <c r="AE20" s="310" t="str">
        <f>IFERROR(ROUNDDOWN(ROUNDDOWN(ROUND(L20*VLOOKUP(K20,【参考】数式用!$A$4:$F$57,MATCH("処遇改善加算Ⅳ",【参考】数式用!$C$3:$F$3,0)+2,0),0),0)*AA20*0.5,0), "")</f>
        <v/>
      </c>
      <c r="AF20" s="321"/>
      <c r="AG20" s="322"/>
      <c r="AH20" s="322"/>
      <c r="AI20" s="321"/>
      <c r="AJ20" s="323"/>
      <c r="AK20" s="329"/>
      <c r="AL20" s="327" t="str">
        <f t="shared" si="0"/>
        <v/>
      </c>
      <c r="AM20" s="328" t="str">
        <f t="shared" si="19"/>
        <v/>
      </c>
      <c r="AN20" s="258"/>
      <c r="AO20" s="551" t="str">
        <f>IFERROR(VLOOKUP(K20,【参考】数式用!$A$2:$N$57,14,FALSE),"")</f>
        <v/>
      </c>
      <c r="AP20" s="551" t="str">
        <f t="shared" si="1"/>
        <v/>
      </c>
      <c r="AQ20" s="556" t="str">
        <f t="shared" si="2"/>
        <v/>
      </c>
      <c r="AR20" s="534" t="str">
        <f t="shared" si="3"/>
        <v>入力済</v>
      </c>
      <c r="AS20" s="551" t="str">
        <f t="shared" si="13"/>
        <v/>
      </c>
      <c r="AT20" s="534" t="str">
        <f t="shared" si="4"/>
        <v>入力済</v>
      </c>
      <c r="AU20" s="534" t="str">
        <f t="shared" si="14"/>
        <v/>
      </c>
      <c r="AV20" s="534" t="str">
        <f t="shared" si="5"/>
        <v/>
      </c>
      <c r="AW20" s="551" t="str">
        <f t="shared" si="6"/>
        <v/>
      </c>
      <c r="AX20" s="551" t="str">
        <f t="shared" si="15"/>
        <v/>
      </c>
      <c r="AY20" s="534" t="str">
        <f>IFERROR(VLOOKUP(K20,【参考】数式用!$AR$5:$AS$39,2, FALSE), "")</f>
        <v/>
      </c>
      <c r="AZ20" s="551" t="str">
        <f t="shared" si="16"/>
        <v/>
      </c>
      <c r="BA20" s="555" t="str">
        <f t="shared" si="7"/>
        <v>入力済</v>
      </c>
      <c r="BB20" s="534" t="str">
        <f>IFERROR(VLOOKUP(K20,【参考】数式用!$AX$3:$AY$59, 2, FALSE), "")</f>
        <v/>
      </c>
      <c r="BC20" s="551" t="str">
        <f t="shared" si="17"/>
        <v/>
      </c>
      <c r="BD20" s="555" t="str">
        <f t="shared" si="8"/>
        <v>入力済</v>
      </c>
      <c r="BE20" s="552" t="str">
        <f t="shared" si="18"/>
        <v/>
      </c>
      <c r="BF20" s="552" t="str">
        <f t="shared" si="9"/>
        <v/>
      </c>
    </row>
    <row r="21" spans="1:69" s="260" customFormat="1" ht="109.95" customHeight="1" thickBot="1">
      <c r="A21" s="306">
        <v>8</v>
      </c>
      <c r="B21" s="646" t="str">
        <f>IF(基本情報入力シート!B43="","",基本情報入力シート!B43)</f>
        <v/>
      </c>
      <c r="C21" s="647"/>
      <c r="D21" s="647"/>
      <c r="E21" s="647"/>
      <c r="F21" s="648"/>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53" t="str">
        <f>IF(基本情報入力シート!AF43=0, "",基本情報入力シート!AF43)</f>
        <v/>
      </c>
      <c r="M21" s="581"/>
      <c r="N21" s="517" t="str">
        <f>IFERROR(VLOOKUP(K21,【参考】数式用!$A$2:$F$57,MATCH(M21,【参考】数式用!$C$3:$F$3,0)+2,0),"")</f>
        <v/>
      </c>
      <c r="O21" s="506"/>
      <c r="P21" s="549" t="str">
        <f>IFERROR(VLOOKUP(K21,【参考】数式用!$A$2:$F$57,MATCH(O21,【参考】数式用!$C$3:$F$3,0)+2,0),"")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0" t="str">
        <f t="shared" si="12"/>
        <v/>
      </c>
      <c r="AE21" s="310" t="str">
        <f>IFERROR(ROUNDDOWN(ROUNDDOWN(ROUND(L21*VLOOKUP(K21,【参考】数式用!$A$4:$F$57,MATCH("処遇改善加算Ⅳ",【参考】数式用!$C$3:$F$3,0)+2,0),0),0)*AA21*0.5,0), "")</f>
        <v/>
      </c>
      <c r="AF21" s="321"/>
      <c r="AG21" s="322"/>
      <c r="AH21" s="322"/>
      <c r="AI21" s="321"/>
      <c r="AJ21" s="323"/>
      <c r="AK21" s="329"/>
      <c r="AL21" s="327" t="str">
        <f t="shared" si="0"/>
        <v/>
      </c>
      <c r="AM21" s="328" t="str">
        <f t="shared" si="19"/>
        <v/>
      </c>
      <c r="AN21" s="258"/>
      <c r="AO21" s="551" t="str">
        <f>IFERROR(VLOOKUP(K21,【参考】数式用!$A$2:$N$57,14,FALSE),"")</f>
        <v/>
      </c>
      <c r="AP21" s="551" t="str">
        <f t="shared" si="1"/>
        <v/>
      </c>
      <c r="AQ21" s="556" t="str">
        <f t="shared" si="2"/>
        <v/>
      </c>
      <c r="AR21" s="534" t="str">
        <f t="shared" si="3"/>
        <v>入力済</v>
      </c>
      <c r="AS21" s="551" t="str">
        <f t="shared" si="13"/>
        <v/>
      </c>
      <c r="AT21" s="534" t="str">
        <f t="shared" si="4"/>
        <v>入力済</v>
      </c>
      <c r="AU21" s="534" t="str">
        <f t="shared" si="14"/>
        <v/>
      </c>
      <c r="AV21" s="534" t="str">
        <f t="shared" si="5"/>
        <v/>
      </c>
      <c r="AW21" s="551" t="str">
        <f t="shared" si="6"/>
        <v/>
      </c>
      <c r="AX21" s="551" t="str">
        <f t="shared" si="15"/>
        <v/>
      </c>
      <c r="AY21" s="534" t="str">
        <f>IFERROR(VLOOKUP(K21,【参考】数式用!$AR$5:$AS$39,2, FALSE), "")</f>
        <v/>
      </c>
      <c r="AZ21" s="551" t="str">
        <f t="shared" si="16"/>
        <v/>
      </c>
      <c r="BA21" s="555" t="str">
        <f t="shared" si="7"/>
        <v>入力済</v>
      </c>
      <c r="BB21" s="534" t="str">
        <f>IFERROR(VLOOKUP(K21,【参考】数式用!$AX$3:$AY$59, 2, FALSE), "")</f>
        <v/>
      </c>
      <c r="BC21" s="551" t="str">
        <f t="shared" si="17"/>
        <v/>
      </c>
      <c r="BD21" s="555" t="str">
        <f t="shared" si="8"/>
        <v>入力済</v>
      </c>
      <c r="BE21" s="552" t="str">
        <f t="shared" si="18"/>
        <v/>
      </c>
      <c r="BF21" s="552" t="str">
        <f t="shared" si="9"/>
        <v/>
      </c>
    </row>
    <row r="22" spans="1:69" s="260" customFormat="1" ht="109.95" customHeight="1" thickBot="1">
      <c r="A22" s="306">
        <v>9</v>
      </c>
      <c r="B22" s="646" t="str">
        <f>IF(基本情報入力シート!B44="","",基本情報入力シート!B44)</f>
        <v/>
      </c>
      <c r="C22" s="647"/>
      <c r="D22" s="647"/>
      <c r="E22" s="647"/>
      <c r="F22" s="648"/>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53" t="str">
        <f>IF(基本情報入力シート!AF44=0, "",基本情報入力シート!AF44)</f>
        <v/>
      </c>
      <c r="M22" s="581"/>
      <c r="N22" s="517" t="str">
        <f>IFERROR(VLOOKUP(K22,【参考】数式用!$A$2:$F$57,MATCH(M22,【参考】数式用!$C$3:$F$3,0)+2,0),"")</f>
        <v/>
      </c>
      <c r="O22" s="506"/>
      <c r="P22" s="549" t="str">
        <f>IFERROR(VLOOKUP(K22,【参考】数式用!$A$2:$F$57,MATCH(O22,【参考】数式用!$C$3:$F$3,0)+2,0),"")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0" t="str">
        <f t="shared" si="12"/>
        <v/>
      </c>
      <c r="AE22" s="310" t="str">
        <f>IFERROR(ROUNDDOWN(ROUNDDOWN(ROUND(L22*VLOOKUP(K22,【参考】数式用!$A$4:$F$57,MATCH("処遇改善加算Ⅳ",【参考】数式用!$C$3:$F$3,0)+2,0),0),0)*AA22*0.5,0), "")</f>
        <v/>
      </c>
      <c r="AF22" s="321"/>
      <c r="AG22" s="322"/>
      <c r="AH22" s="322"/>
      <c r="AI22" s="321"/>
      <c r="AJ22" s="323"/>
      <c r="AK22" s="329"/>
      <c r="AL22" s="327" t="str">
        <f t="shared" si="0"/>
        <v/>
      </c>
      <c r="AM22" s="328" t="str">
        <f t="shared" si="19"/>
        <v/>
      </c>
      <c r="AN22" s="258"/>
      <c r="AO22" s="551" t="str">
        <f>IFERROR(VLOOKUP(K22,【参考】数式用!$A$2:$N$57,14,FALSE),"")</f>
        <v/>
      </c>
      <c r="AP22" s="551" t="str">
        <f t="shared" si="1"/>
        <v/>
      </c>
      <c r="AQ22" s="556" t="str">
        <f t="shared" si="2"/>
        <v/>
      </c>
      <c r="AR22" s="534" t="str">
        <f t="shared" si="3"/>
        <v>入力済</v>
      </c>
      <c r="AS22" s="551" t="str">
        <f t="shared" si="13"/>
        <v/>
      </c>
      <c r="AT22" s="534" t="str">
        <f t="shared" si="4"/>
        <v>入力済</v>
      </c>
      <c r="AU22" s="534" t="str">
        <f t="shared" si="14"/>
        <v/>
      </c>
      <c r="AV22" s="534" t="str">
        <f t="shared" si="5"/>
        <v/>
      </c>
      <c r="AW22" s="551" t="str">
        <f t="shared" si="6"/>
        <v/>
      </c>
      <c r="AX22" s="551" t="str">
        <f t="shared" si="15"/>
        <v/>
      </c>
      <c r="AY22" s="534" t="str">
        <f>IFERROR(VLOOKUP(K22,【参考】数式用!$AR$5:$AS$39,2, FALSE), "")</f>
        <v/>
      </c>
      <c r="AZ22" s="551" t="str">
        <f t="shared" si="16"/>
        <v/>
      </c>
      <c r="BA22" s="555" t="str">
        <f t="shared" si="7"/>
        <v>入力済</v>
      </c>
      <c r="BB22" s="534" t="str">
        <f>IFERROR(VLOOKUP(K22,【参考】数式用!$AX$3:$AY$59, 2, FALSE), "")</f>
        <v/>
      </c>
      <c r="BC22" s="551" t="str">
        <f t="shared" si="17"/>
        <v/>
      </c>
      <c r="BD22" s="555" t="str">
        <f t="shared" si="8"/>
        <v>入力済</v>
      </c>
      <c r="BE22" s="552" t="str">
        <f t="shared" si="18"/>
        <v/>
      </c>
      <c r="BF22" s="552" t="str">
        <f t="shared" si="9"/>
        <v/>
      </c>
    </row>
    <row r="23" spans="1:69" s="260" customFormat="1" ht="109.95" customHeight="1" thickBot="1">
      <c r="A23" s="306">
        <v>10</v>
      </c>
      <c r="B23" s="646" t="str">
        <f>IF(基本情報入力シート!B45="","",基本情報入力シート!B45)</f>
        <v/>
      </c>
      <c r="C23" s="647"/>
      <c r="D23" s="647"/>
      <c r="E23" s="647"/>
      <c r="F23" s="648"/>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53" t="str">
        <f>IF(基本情報入力シート!AF45=0, "",基本情報入力シート!AF45)</f>
        <v/>
      </c>
      <c r="M23" s="581"/>
      <c r="N23" s="517" t="str">
        <f>IFERROR(VLOOKUP(K23,【参考】数式用!$A$2:$F$57,MATCH(M23,【参考】数式用!$C$3:$F$3,0)+2,0),"")</f>
        <v/>
      </c>
      <c r="O23" s="506"/>
      <c r="P23" s="549" t="str">
        <f>IFERROR(VLOOKUP(K23,【参考】数式用!$A$2:$F$57,MATCH(O23,【参考】数式用!$C$3:$F$3,0)+2,0),"")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0" t="str">
        <f t="shared" si="12"/>
        <v/>
      </c>
      <c r="AE23" s="310" t="str">
        <f>IFERROR(ROUNDDOWN(ROUNDDOWN(ROUND(L23*VLOOKUP(K23,【参考】数式用!$A$4:$F$57,MATCH("処遇改善加算Ⅳ",【参考】数式用!$C$3:$F$3,0)+2,0),0),0)*AA23*0.5,0), "")</f>
        <v/>
      </c>
      <c r="AF23" s="321"/>
      <c r="AG23" s="322"/>
      <c r="AH23" s="322"/>
      <c r="AI23" s="321"/>
      <c r="AJ23" s="323"/>
      <c r="AK23" s="329"/>
      <c r="AL23" s="327" t="str">
        <f t="shared" si="0"/>
        <v/>
      </c>
      <c r="AM23" s="328" t="str">
        <f t="shared" si="19"/>
        <v/>
      </c>
      <c r="AN23" s="258"/>
      <c r="AO23" s="551" t="str">
        <f>IFERROR(VLOOKUP(K23,【参考】数式用!$A$2:$N$57,14,FALSE),"")</f>
        <v/>
      </c>
      <c r="AP23" s="551" t="str">
        <f t="shared" si="1"/>
        <v/>
      </c>
      <c r="AQ23" s="556" t="str">
        <f t="shared" si="2"/>
        <v/>
      </c>
      <c r="AR23" s="534" t="str">
        <f t="shared" si="3"/>
        <v>入力済</v>
      </c>
      <c r="AS23" s="551" t="str">
        <f t="shared" si="13"/>
        <v/>
      </c>
      <c r="AT23" s="534" t="str">
        <f t="shared" si="4"/>
        <v>入力済</v>
      </c>
      <c r="AU23" s="534" t="str">
        <f t="shared" si="14"/>
        <v/>
      </c>
      <c r="AV23" s="534" t="str">
        <f t="shared" si="5"/>
        <v/>
      </c>
      <c r="AW23" s="551" t="str">
        <f t="shared" si="6"/>
        <v/>
      </c>
      <c r="AX23" s="551" t="str">
        <f t="shared" si="15"/>
        <v/>
      </c>
      <c r="AY23" s="534" t="str">
        <f>IFERROR(VLOOKUP(K23,【参考】数式用!$AR$5:$AS$39,2, FALSE), "")</f>
        <v/>
      </c>
      <c r="AZ23" s="551" t="str">
        <f t="shared" si="16"/>
        <v/>
      </c>
      <c r="BA23" s="555" t="str">
        <f t="shared" si="7"/>
        <v>入力済</v>
      </c>
      <c r="BB23" s="534" t="str">
        <f>IFERROR(VLOOKUP(K23,【参考】数式用!$AX$3:$AY$59, 2, FALSE), "")</f>
        <v/>
      </c>
      <c r="BC23" s="551" t="str">
        <f t="shared" si="17"/>
        <v/>
      </c>
      <c r="BD23" s="555" t="str">
        <f t="shared" si="8"/>
        <v>入力済</v>
      </c>
      <c r="BE23" s="552" t="str">
        <f t="shared" si="18"/>
        <v/>
      </c>
      <c r="BF23" s="552" t="str">
        <f t="shared" si="9"/>
        <v/>
      </c>
    </row>
    <row r="24" spans="1:69" s="260" customFormat="1" ht="109.95" customHeight="1" thickBot="1">
      <c r="A24" s="306">
        <v>11</v>
      </c>
      <c r="B24" s="646" t="str">
        <f>IF(基本情報入力シート!B46="","",基本情報入力シート!B46)</f>
        <v/>
      </c>
      <c r="C24" s="647"/>
      <c r="D24" s="647"/>
      <c r="E24" s="647"/>
      <c r="F24" s="648"/>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53" t="str">
        <f>IF(基本情報入力シート!AF46=0, "",基本情報入力シート!AF46)</f>
        <v/>
      </c>
      <c r="M24" s="581"/>
      <c r="N24" s="517" t="str">
        <f>IFERROR(VLOOKUP(K24,【参考】数式用!$A$2:$F$57,MATCH(M24,【参考】数式用!$C$3:$F$3,0)+2,0),"")</f>
        <v/>
      </c>
      <c r="O24" s="506"/>
      <c r="P24" s="549" t="str">
        <f>IFERROR(VLOOKUP(K24,【参考】数式用!$A$2:$F$57,MATCH(O24,【参考】数式用!$C$3:$F$3,0)+2,0),"")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0" t="str">
        <f t="shared" si="12"/>
        <v/>
      </c>
      <c r="AE24" s="310" t="str">
        <f>IFERROR(ROUNDDOWN(ROUNDDOWN(ROUND(L24*VLOOKUP(K24,【参考】数式用!$A$4:$F$57,MATCH("処遇改善加算Ⅳ",【参考】数式用!$C$3:$F$3,0)+2,0),0),0)*AA24*0.5,0), "")</f>
        <v/>
      </c>
      <c r="AF24" s="321"/>
      <c r="AG24" s="322"/>
      <c r="AH24" s="322"/>
      <c r="AI24" s="321"/>
      <c r="AJ24" s="323"/>
      <c r="AK24" s="329"/>
      <c r="AL24" s="327" t="str">
        <f t="shared" si="0"/>
        <v/>
      </c>
      <c r="AM24" s="328" t="str">
        <f t="shared" si="19"/>
        <v/>
      </c>
      <c r="AN24" s="258"/>
      <c r="AO24" s="551" t="str">
        <f>IFERROR(VLOOKUP(K24,【参考】数式用!$A$2:$N$57,14,FALSE),"")</f>
        <v/>
      </c>
      <c r="AP24" s="551" t="str">
        <f t="shared" si="1"/>
        <v/>
      </c>
      <c r="AQ24" s="556" t="str">
        <f t="shared" si="2"/>
        <v/>
      </c>
      <c r="AR24" s="534" t="str">
        <f t="shared" si="3"/>
        <v>入力済</v>
      </c>
      <c r="AS24" s="551" t="str">
        <f t="shared" si="13"/>
        <v/>
      </c>
      <c r="AT24" s="534" t="str">
        <f t="shared" si="4"/>
        <v>入力済</v>
      </c>
      <c r="AU24" s="534" t="str">
        <f t="shared" si="14"/>
        <v/>
      </c>
      <c r="AV24" s="534" t="str">
        <f t="shared" si="5"/>
        <v/>
      </c>
      <c r="AW24" s="551" t="str">
        <f t="shared" si="6"/>
        <v/>
      </c>
      <c r="AX24" s="551" t="str">
        <f t="shared" si="15"/>
        <v/>
      </c>
      <c r="AY24" s="534" t="str">
        <f>IFERROR(VLOOKUP(K24,【参考】数式用!$AR$5:$AS$39,2, FALSE), "")</f>
        <v/>
      </c>
      <c r="AZ24" s="551" t="str">
        <f t="shared" si="16"/>
        <v/>
      </c>
      <c r="BA24" s="555" t="str">
        <f t="shared" si="7"/>
        <v>入力済</v>
      </c>
      <c r="BB24" s="534" t="str">
        <f>IFERROR(VLOOKUP(K24,【参考】数式用!$AX$3:$AY$59, 2, FALSE), "")</f>
        <v/>
      </c>
      <c r="BC24" s="551" t="str">
        <f t="shared" si="17"/>
        <v/>
      </c>
      <c r="BD24" s="555" t="str">
        <f t="shared" si="8"/>
        <v>入力済</v>
      </c>
      <c r="BE24" s="552" t="str">
        <f t="shared" si="18"/>
        <v/>
      </c>
      <c r="BF24" s="552" t="str">
        <f t="shared" si="9"/>
        <v/>
      </c>
    </row>
    <row r="25" spans="1:69" s="260" customFormat="1" ht="109.95" customHeight="1" thickBot="1">
      <c r="A25" s="306">
        <v>12</v>
      </c>
      <c r="B25" s="646" t="str">
        <f>IF(基本情報入力シート!B47="","",基本情報入力シート!B47)</f>
        <v/>
      </c>
      <c r="C25" s="647"/>
      <c r="D25" s="647"/>
      <c r="E25" s="647"/>
      <c r="F25" s="648"/>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53" t="str">
        <f>IF(基本情報入力シート!AF47=0, "",基本情報入力シート!AF47)</f>
        <v/>
      </c>
      <c r="M25" s="581"/>
      <c r="N25" s="517" t="str">
        <f>IFERROR(VLOOKUP(K25,【参考】数式用!$A$2:$F$57,MATCH(M25,【参考】数式用!$C$3:$F$3,0)+2,0),"")</f>
        <v/>
      </c>
      <c r="O25" s="506"/>
      <c r="P25" s="549" t="str">
        <f>IFERROR(VLOOKUP(K25,【参考】数式用!$A$2:$F$57,MATCH(O25,【参考】数式用!$C$3:$F$3,0)+2,0),"")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0" t="str">
        <f t="shared" si="12"/>
        <v/>
      </c>
      <c r="AE25" s="310" t="str">
        <f>IFERROR(ROUNDDOWN(ROUNDDOWN(ROUND(L25*VLOOKUP(K25,【参考】数式用!$A$4:$F$57,MATCH("処遇改善加算Ⅳ",【参考】数式用!$C$3:$F$3,0)+2,0),0),0)*AA25*0.5,0), "")</f>
        <v/>
      </c>
      <c r="AF25" s="321"/>
      <c r="AG25" s="322"/>
      <c r="AH25" s="322"/>
      <c r="AI25" s="321"/>
      <c r="AJ25" s="323"/>
      <c r="AK25" s="329"/>
      <c r="AL25" s="327" t="str">
        <f t="shared" si="0"/>
        <v/>
      </c>
      <c r="AM25" s="328" t="str">
        <f t="shared" si="19"/>
        <v/>
      </c>
      <c r="AN25" s="258"/>
      <c r="AO25" s="551" t="str">
        <f>IFERROR(VLOOKUP(K25,【参考】数式用!$A$2:$N$57,14,FALSE),"")</f>
        <v/>
      </c>
      <c r="AP25" s="551" t="str">
        <f t="shared" si="1"/>
        <v/>
      </c>
      <c r="AQ25" s="556" t="str">
        <f t="shared" si="2"/>
        <v/>
      </c>
      <c r="AR25" s="534" t="str">
        <f t="shared" si="3"/>
        <v>入力済</v>
      </c>
      <c r="AS25" s="551" t="str">
        <f t="shared" si="13"/>
        <v/>
      </c>
      <c r="AT25" s="534" t="str">
        <f t="shared" si="4"/>
        <v>入力済</v>
      </c>
      <c r="AU25" s="534" t="str">
        <f t="shared" si="14"/>
        <v/>
      </c>
      <c r="AV25" s="534" t="str">
        <f t="shared" si="5"/>
        <v/>
      </c>
      <c r="AW25" s="551" t="str">
        <f t="shared" si="6"/>
        <v/>
      </c>
      <c r="AX25" s="551" t="str">
        <f t="shared" si="15"/>
        <v/>
      </c>
      <c r="AY25" s="534" t="str">
        <f>IFERROR(VLOOKUP(K25,【参考】数式用!$AR$5:$AS$39,2, FALSE), "")</f>
        <v/>
      </c>
      <c r="AZ25" s="551" t="str">
        <f t="shared" si="16"/>
        <v/>
      </c>
      <c r="BA25" s="555" t="str">
        <f t="shared" si="7"/>
        <v>入力済</v>
      </c>
      <c r="BB25" s="534" t="str">
        <f>IFERROR(VLOOKUP(K25,【参考】数式用!$AX$3:$AY$59, 2, FALSE), "")</f>
        <v/>
      </c>
      <c r="BC25" s="551" t="str">
        <f t="shared" si="17"/>
        <v/>
      </c>
      <c r="BD25" s="555" t="str">
        <f t="shared" si="8"/>
        <v>入力済</v>
      </c>
      <c r="BE25" s="552" t="str">
        <f t="shared" si="18"/>
        <v/>
      </c>
      <c r="BF25" s="552" t="str">
        <f t="shared" si="9"/>
        <v/>
      </c>
    </row>
    <row r="26" spans="1:69" s="260" customFormat="1" ht="109.95" customHeight="1" thickBot="1">
      <c r="A26" s="306">
        <v>13</v>
      </c>
      <c r="B26" s="646" t="str">
        <f>IF(基本情報入力シート!B48="","",基本情報入力シート!B48)</f>
        <v/>
      </c>
      <c r="C26" s="647"/>
      <c r="D26" s="647"/>
      <c r="E26" s="647"/>
      <c r="F26" s="648"/>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53" t="str">
        <f>IF(基本情報入力シート!AF48=0, "",基本情報入力シート!AF48)</f>
        <v/>
      </c>
      <c r="M26" s="581"/>
      <c r="N26" s="517" t="str">
        <f>IFERROR(VLOOKUP(K26,【参考】数式用!$A$2:$F$57,MATCH(M26,【参考】数式用!$C$3:$F$3,0)+2,0),"")</f>
        <v/>
      </c>
      <c r="O26" s="506"/>
      <c r="P26" s="549" t="str">
        <f>IFERROR(VLOOKUP(K26,【参考】数式用!$A$2:$F$57,MATCH(O26,【参考】数式用!$C$3:$F$3,0)+2,0),"")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0" t="str">
        <f t="shared" si="12"/>
        <v/>
      </c>
      <c r="AE26" s="310" t="str">
        <f>IFERROR(ROUNDDOWN(ROUNDDOWN(ROUND(L26*VLOOKUP(K26,【参考】数式用!$A$4:$F$57,MATCH("処遇改善加算Ⅳ",【参考】数式用!$C$3:$F$3,0)+2,0),0),0)*AA26*0.5,0), "")</f>
        <v/>
      </c>
      <c r="AF26" s="321"/>
      <c r="AG26" s="322"/>
      <c r="AH26" s="322"/>
      <c r="AI26" s="321"/>
      <c r="AJ26" s="323"/>
      <c r="AK26" s="329"/>
      <c r="AL26" s="327" t="str">
        <f t="shared" si="0"/>
        <v/>
      </c>
      <c r="AM26" s="328" t="str">
        <f t="shared" si="19"/>
        <v/>
      </c>
      <c r="AN26" s="258"/>
      <c r="AO26" s="551" t="str">
        <f>IFERROR(VLOOKUP(K26,【参考】数式用!$A$2:$N$57,14,FALSE),"")</f>
        <v/>
      </c>
      <c r="AP26" s="551" t="str">
        <f t="shared" si="1"/>
        <v/>
      </c>
      <c r="AQ26" s="556" t="str">
        <f t="shared" si="2"/>
        <v/>
      </c>
      <c r="AR26" s="534" t="str">
        <f t="shared" si="3"/>
        <v>入力済</v>
      </c>
      <c r="AS26" s="551" t="str">
        <f t="shared" si="13"/>
        <v/>
      </c>
      <c r="AT26" s="534" t="str">
        <f t="shared" si="4"/>
        <v>入力済</v>
      </c>
      <c r="AU26" s="534" t="str">
        <f t="shared" si="14"/>
        <v/>
      </c>
      <c r="AV26" s="534" t="str">
        <f t="shared" si="5"/>
        <v/>
      </c>
      <c r="AW26" s="551" t="str">
        <f t="shared" si="6"/>
        <v/>
      </c>
      <c r="AX26" s="551" t="str">
        <f t="shared" si="15"/>
        <v/>
      </c>
      <c r="AY26" s="534" t="str">
        <f>IFERROR(VLOOKUP(K26,【参考】数式用!$AR$5:$AS$39,2, FALSE), "")</f>
        <v/>
      </c>
      <c r="AZ26" s="551" t="str">
        <f t="shared" si="16"/>
        <v/>
      </c>
      <c r="BA26" s="555" t="str">
        <f t="shared" si="7"/>
        <v>入力済</v>
      </c>
      <c r="BB26" s="534" t="str">
        <f>IFERROR(VLOOKUP(K26,【参考】数式用!$AX$3:$AY$59, 2, FALSE), "")</f>
        <v/>
      </c>
      <c r="BC26" s="551" t="str">
        <f t="shared" si="17"/>
        <v/>
      </c>
      <c r="BD26" s="555" t="str">
        <f t="shared" si="8"/>
        <v>入力済</v>
      </c>
      <c r="BE26" s="552" t="str">
        <f t="shared" si="18"/>
        <v/>
      </c>
      <c r="BF26" s="552" t="str">
        <f t="shared" si="9"/>
        <v/>
      </c>
    </row>
    <row r="27" spans="1:69" s="260" customFormat="1" ht="109.95" customHeight="1" thickBot="1">
      <c r="A27" s="306">
        <v>14</v>
      </c>
      <c r="B27" s="646" t="str">
        <f>IF(基本情報入力シート!B49="","",基本情報入力シート!B49)</f>
        <v/>
      </c>
      <c r="C27" s="647"/>
      <c r="D27" s="647"/>
      <c r="E27" s="647"/>
      <c r="F27" s="648"/>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53" t="str">
        <f>IF(基本情報入力シート!AF49=0, "",基本情報入力シート!AF49)</f>
        <v/>
      </c>
      <c r="M27" s="581"/>
      <c r="N27" s="517" t="str">
        <f>IFERROR(VLOOKUP(K27,【参考】数式用!$A$2:$F$57,MATCH(M27,【参考】数式用!$C$3:$F$3,0)+2,0),"")</f>
        <v/>
      </c>
      <c r="O27" s="506"/>
      <c r="P27" s="549" t="str">
        <f>IFERROR(VLOOKUP(K27,【参考】数式用!$A$2:$F$57,MATCH(O27,【参考】数式用!$C$3:$F$3,0)+2,0),"")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0" t="str">
        <f t="shared" si="12"/>
        <v/>
      </c>
      <c r="AE27" s="310" t="str">
        <f>IFERROR(ROUNDDOWN(ROUNDDOWN(ROUND(L27*VLOOKUP(K27,【参考】数式用!$A$4:$F$57,MATCH("処遇改善加算Ⅳ",【参考】数式用!$C$3:$F$3,0)+2,0),0),0)*AA27*0.5,0), "")</f>
        <v/>
      </c>
      <c r="AF27" s="321"/>
      <c r="AG27" s="322"/>
      <c r="AH27" s="322"/>
      <c r="AI27" s="321"/>
      <c r="AJ27" s="323"/>
      <c r="AK27" s="329"/>
      <c r="AL27" s="327" t="str">
        <f t="shared" si="0"/>
        <v/>
      </c>
      <c r="AM27" s="328" t="str">
        <f t="shared" si="19"/>
        <v/>
      </c>
      <c r="AN27" s="258"/>
      <c r="AO27" s="551" t="str">
        <f>IFERROR(VLOOKUP(K27,【参考】数式用!$A$2:$N$57,14,FALSE),"")</f>
        <v/>
      </c>
      <c r="AP27" s="551" t="str">
        <f t="shared" si="1"/>
        <v/>
      </c>
      <c r="AQ27" s="556" t="str">
        <f t="shared" si="2"/>
        <v/>
      </c>
      <c r="AR27" s="534" t="str">
        <f t="shared" si="3"/>
        <v>入力済</v>
      </c>
      <c r="AS27" s="551" t="str">
        <f t="shared" si="13"/>
        <v/>
      </c>
      <c r="AT27" s="534" t="str">
        <f t="shared" si="4"/>
        <v>入力済</v>
      </c>
      <c r="AU27" s="534" t="str">
        <f t="shared" si="14"/>
        <v/>
      </c>
      <c r="AV27" s="534" t="str">
        <f t="shared" si="5"/>
        <v/>
      </c>
      <c r="AW27" s="551" t="str">
        <f t="shared" si="6"/>
        <v/>
      </c>
      <c r="AX27" s="551" t="str">
        <f t="shared" si="15"/>
        <v/>
      </c>
      <c r="AY27" s="534" t="str">
        <f>IFERROR(VLOOKUP(K27,【参考】数式用!$AR$5:$AS$39,2, FALSE), "")</f>
        <v/>
      </c>
      <c r="AZ27" s="551" t="str">
        <f t="shared" si="16"/>
        <v/>
      </c>
      <c r="BA27" s="555" t="str">
        <f t="shared" si="7"/>
        <v>入力済</v>
      </c>
      <c r="BB27" s="534" t="str">
        <f>IFERROR(VLOOKUP(K27,【参考】数式用!$AX$3:$AY$59, 2, FALSE), "")</f>
        <v/>
      </c>
      <c r="BC27" s="551" t="str">
        <f t="shared" si="17"/>
        <v/>
      </c>
      <c r="BD27" s="555" t="str">
        <f t="shared" si="8"/>
        <v>入力済</v>
      </c>
      <c r="BE27" s="552" t="str">
        <f t="shared" si="18"/>
        <v/>
      </c>
      <c r="BF27" s="552" t="str">
        <f t="shared" si="9"/>
        <v/>
      </c>
    </row>
    <row r="28" spans="1:69" s="260" customFormat="1" ht="109.95" customHeight="1" thickBot="1">
      <c r="A28" s="306">
        <v>15</v>
      </c>
      <c r="B28" s="646" t="str">
        <f>IF(基本情報入力シート!B50="","",基本情報入力シート!B50)</f>
        <v/>
      </c>
      <c r="C28" s="647"/>
      <c r="D28" s="647"/>
      <c r="E28" s="647"/>
      <c r="F28" s="648"/>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53" t="str">
        <f>IF(基本情報入力シート!AF50=0, "",基本情報入力シート!AF50)</f>
        <v/>
      </c>
      <c r="M28" s="581"/>
      <c r="N28" s="517" t="str">
        <f>IFERROR(VLOOKUP(K28,【参考】数式用!$A$2:$F$57,MATCH(M28,【参考】数式用!$C$3:$F$3,0)+2,0),"")</f>
        <v/>
      </c>
      <c r="O28" s="506"/>
      <c r="P28" s="549" t="str">
        <f>IFERROR(VLOOKUP(K28,【参考】数式用!$A$2:$F$57,MATCH(O28,【参考】数式用!$C$3:$F$3,0)+2,0),"")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0" t="str">
        <f t="shared" si="12"/>
        <v/>
      </c>
      <c r="AE28" s="310" t="str">
        <f>IFERROR(ROUNDDOWN(ROUNDDOWN(ROUND(L28*VLOOKUP(K28,【参考】数式用!$A$4:$F$57,MATCH("処遇改善加算Ⅳ",【参考】数式用!$C$3:$F$3,0)+2,0),0),0)*AA28*0.5,0), "")</f>
        <v/>
      </c>
      <c r="AF28" s="321"/>
      <c r="AG28" s="322"/>
      <c r="AH28" s="322"/>
      <c r="AI28" s="321"/>
      <c r="AJ28" s="323"/>
      <c r="AK28" s="329"/>
      <c r="AL28" s="327" t="str">
        <f t="shared" si="0"/>
        <v/>
      </c>
      <c r="AM28" s="328" t="str">
        <f t="shared" si="19"/>
        <v/>
      </c>
      <c r="AN28" s="258"/>
      <c r="AO28" s="551" t="str">
        <f>IFERROR(VLOOKUP(K28,【参考】数式用!$A$2:$N$57,14,FALSE),"")</f>
        <v/>
      </c>
      <c r="AP28" s="551" t="str">
        <f t="shared" si="1"/>
        <v/>
      </c>
      <c r="AQ28" s="556" t="str">
        <f t="shared" si="2"/>
        <v/>
      </c>
      <c r="AR28" s="534" t="str">
        <f t="shared" si="3"/>
        <v>入力済</v>
      </c>
      <c r="AS28" s="551" t="str">
        <f t="shared" si="13"/>
        <v/>
      </c>
      <c r="AT28" s="534" t="str">
        <f t="shared" si="4"/>
        <v>入力済</v>
      </c>
      <c r="AU28" s="534" t="str">
        <f t="shared" si="14"/>
        <v/>
      </c>
      <c r="AV28" s="534" t="str">
        <f t="shared" si="5"/>
        <v/>
      </c>
      <c r="AW28" s="551" t="str">
        <f t="shared" si="6"/>
        <v/>
      </c>
      <c r="AX28" s="551" t="str">
        <f t="shared" si="15"/>
        <v/>
      </c>
      <c r="AY28" s="534" t="str">
        <f>IFERROR(VLOOKUP(K28,【参考】数式用!$AR$5:$AS$39,2, FALSE), "")</f>
        <v/>
      </c>
      <c r="AZ28" s="551" t="str">
        <f t="shared" si="16"/>
        <v/>
      </c>
      <c r="BA28" s="555" t="str">
        <f t="shared" si="7"/>
        <v>入力済</v>
      </c>
      <c r="BB28" s="534" t="str">
        <f>IFERROR(VLOOKUP(K28,【参考】数式用!$AX$3:$AY$59, 2, FALSE), "")</f>
        <v/>
      </c>
      <c r="BC28" s="551" t="str">
        <f t="shared" si="17"/>
        <v/>
      </c>
      <c r="BD28" s="555" t="str">
        <f t="shared" si="8"/>
        <v>入力済</v>
      </c>
      <c r="BE28" s="552" t="str">
        <f t="shared" si="18"/>
        <v/>
      </c>
      <c r="BF28" s="552" t="str">
        <f t="shared" si="9"/>
        <v/>
      </c>
    </row>
    <row r="29" spans="1:69" s="260" customFormat="1" ht="109.95" customHeight="1" thickBot="1">
      <c r="A29" s="306">
        <v>16</v>
      </c>
      <c r="B29" s="646" t="str">
        <f>IF(基本情報入力シート!B51="","",基本情報入力シート!B51)</f>
        <v/>
      </c>
      <c r="C29" s="647"/>
      <c r="D29" s="647"/>
      <c r="E29" s="647"/>
      <c r="F29" s="648"/>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53" t="str">
        <f>IF(基本情報入力シート!AF51=0, "",基本情報入力シート!AF51)</f>
        <v/>
      </c>
      <c r="M29" s="581"/>
      <c r="N29" s="517" t="str">
        <f>IFERROR(VLOOKUP(K29,【参考】数式用!$A$2:$F$57,MATCH(M29,【参考】数式用!$C$3:$F$3,0)+2,0),"")</f>
        <v/>
      </c>
      <c r="O29" s="506"/>
      <c r="P29" s="549" t="str">
        <f>IFERROR(VLOOKUP(K29,【参考】数式用!$A$2:$F$57,MATCH(O29,【参考】数式用!$C$3:$F$3,0)+2,0),"")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0" t="str">
        <f t="shared" si="12"/>
        <v/>
      </c>
      <c r="AE29" s="310" t="str">
        <f>IFERROR(ROUNDDOWN(ROUNDDOWN(ROUND(L29*VLOOKUP(K29,【参考】数式用!$A$4:$F$57,MATCH("処遇改善加算Ⅳ",【参考】数式用!$C$3:$F$3,0)+2,0),0),0)*AA29*0.5,0), "")</f>
        <v/>
      </c>
      <c r="AF29" s="321"/>
      <c r="AG29" s="322"/>
      <c r="AH29" s="322"/>
      <c r="AI29" s="321"/>
      <c r="AJ29" s="323"/>
      <c r="AK29" s="329"/>
      <c r="AL29" s="327" t="str">
        <f t="shared" si="0"/>
        <v/>
      </c>
      <c r="AM29" s="328" t="str">
        <f t="shared" si="19"/>
        <v/>
      </c>
      <c r="AN29" s="258"/>
      <c r="AO29" s="551" t="str">
        <f>IFERROR(VLOOKUP(K29,【参考】数式用!$A$2:$N$57,14,FALSE),"")</f>
        <v/>
      </c>
      <c r="AP29" s="551" t="str">
        <f t="shared" si="1"/>
        <v/>
      </c>
      <c r="AQ29" s="556" t="str">
        <f t="shared" si="2"/>
        <v/>
      </c>
      <c r="AR29" s="534" t="str">
        <f t="shared" si="3"/>
        <v>入力済</v>
      </c>
      <c r="AS29" s="551" t="str">
        <f t="shared" si="13"/>
        <v/>
      </c>
      <c r="AT29" s="534" t="str">
        <f t="shared" si="4"/>
        <v>入力済</v>
      </c>
      <c r="AU29" s="534" t="str">
        <f t="shared" si="14"/>
        <v/>
      </c>
      <c r="AV29" s="534" t="str">
        <f t="shared" si="5"/>
        <v/>
      </c>
      <c r="AW29" s="551" t="str">
        <f t="shared" si="6"/>
        <v/>
      </c>
      <c r="AX29" s="551" t="str">
        <f t="shared" si="15"/>
        <v/>
      </c>
      <c r="AY29" s="534" t="str">
        <f>IFERROR(VLOOKUP(K29,【参考】数式用!$AR$5:$AS$39,2, FALSE), "")</f>
        <v/>
      </c>
      <c r="AZ29" s="551" t="str">
        <f t="shared" si="16"/>
        <v/>
      </c>
      <c r="BA29" s="555" t="str">
        <f t="shared" si="7"/>
        <v>入力済</v>
      </c>
      <c r="BB29" s="534" t="str">
        <f>IFERROR(VLOOKUP(K29,【参考】数式用!$AX$3:$AY$59, 2, FALSE), "")</f>
        <v/>
      </c>
      <c r="BC29" s="551" t="str">
        <f t="shared" si="17"/>
        <v/>
      </c>
      <c r="BD29" s="555" t="str">
        <f t="shared" si="8"/>
        <v>入力済</v>
      </c>
      <c r="BE29" s="552" t="str">
        <f t="shared" si="18"/>
        <v/>
      </c>
      <c r="BF29" s="552" t="str">
        <f t="shared" si="9"/>
        <v/>
      </c>
    </row>
    <row r="30" spans="1:69" s="260" customFormat="1" ht="109.95" customHeight="1" thickBot="1">
      <c r="A30" s="306">
        <v>17</v>
      </c>
      <c r="B30" s="646" t="str">
        <f>IF(基本情報入力シート!B52="","",基本情報入力シート!B52)</f>
        <v/>
      </c>
      <c r="C30" s="647"/>
      <c r="D30" s="647"/>
      <c r="E30" s="647"/>
      <c r="F30" s="648"/>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53" t="str">
        <f>IF(基本情報入力シート!AF52=0, "",基本情報入力シート!AF52)</f>
        <v/>
      </c>
      <c r="M30" s="581"/>
      <c r="N30" s="517" t="str">
        <f>IFERROR(VLOOKUP(K30,【参考】数式用!$A$2:$F$57,MATCH(M30,【参考】数式用!$C$3:$F$3,0)+2,0),"")</f>
        <v/>
      </c>
      <c r="O30" s="506"/>
      <c r="P30" s="549" t="str">
        <f>IFERROR(VLOOKUP(K30,【参考】数式用!$A$2:$F$57,MATCH(O30,【参考】数式用!$C$3:$F$3,0)+2,0),"")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0" t="str">
        <f t="shared" si="12"/>
        <v/>
      </c>
      <c r="AE30" s="310" t="str">
        <f>IFERROR(ROUNDDOWN(ROUNDDOWN(ROUND(L30*VLOOKUP(K30,【参考】数式用!$A$4:$F$57,MATCH("処遇改善加算Ⅳ",【参考】数式用!$C$3:$F$3,0)+2,0),0),0)*AA30*0.5,0), "")</f>
        <v/>
      </c>
      <c r="AF30" s="321"/>
      <c r="AG30" s="322"/>
      <c r="AH30" s="322"/>
      <c r="AI30" s="321"/>
      <c r="AJ30" s="323"/>
      <c r="AK30" s="329"/>
      <c r="AL30" s="327" t="str">
        <f t="shared" si="0"/>
        <v/>
      </c>
      <c r="AM30" s="328" t="str">
        <f t="shared" si="19"/>
        <v/>
      </c>
      <c r="AN30" s="258"/>
      <c r="AO30" s="551" t="str">
        <f>IFERROR(VLOOKUP(K30,【参考】数式用!$A$2:$N$57,14,FALSE),"")</f>
        <v/>
      </c>
      <c r="AP30" s="551" t="str">
        <f t="shared" si="1"/>
        <v/>
      </c>
      <c r="AQ30" s="556" t="str">
        <f t="shared" si="2"/>
        <v/>
      </c>
      <c r="AR30" s="534" t="str">
        <f t="shared" si="3"/>
        <v>入力済</v>
      </c>
      <c r="AS30" s="551" t="str">
        <f t="shared" si="13"/>
        <v/>
      </c>
      <c r="AT30" s="534" t="str">
        <f t="shared" si="4"/>
        <v>入力済</v>
      </c>
      <c r="AU30" s="534" t="str">
        <f t="shared" si="14"/>
        <v/>
      </c>
      <c r="AV30" s="534" t="str">
        <f t="shared" si="5"/>
        <v/>
      </c>
      <c r="AW30" s="551" t="str">
        <f t="shared" si="6"/>
        <v/>
      </c>
      <c r="AX30" s="551" t="str">
        <f t="shared" si="15"/>
        <v/>
      </c>
      <c r="AY30" s="534" t="str">
        <f>IFERROR(VLOOKUP(K30,【参考】数式用!$AR$5:$AS$39,2, FALSE), "")</f>
        <v/>
      </c>
      <c r="AZ30" s="551" t="str">
        <f t="shared" si="16"/>
        <v/>
      </c>
      <c r="BA30" s="555" t="str">
        <f t="shared" si="7"/>
        <v>入力済</v>
      </c>
      <c r="BB30" s="534" t="str">
        <f>IFERROR(VLOOKUP(K30,【参考】数式用!$AX$3:$AY$59, 2, FALSE), "")</f>
        <v/>
      </c>
      <c r="BC30" s="551" t="str">
        <f t="shared" si="17"/>
        <v/>
      </c>
      <c r="BD30" s="555" t="str">
        <f t="shared" si="8"/>
        <v>入力済</v>
      </c>
      <c r="BE30" s="552" t="str">
        <f t="shared" si="18"/>
        <v/>
      </c>
      <c r="BF30" s="552" t="str">
        <f t="shared" si="9"/>
        <v/>
      </c>
    </row>
    <row r="31" spans="1:69" s="260" customFormat="1" ht="109.95" customHeight="1" thickBot="1">
      <c r="A31" s="306">
        <v>18</v>
      </c>
      <c r="B31" s="646" t="str">
        <f>IF(基本情報入力シート!B53="","",基本情報入力シート!B53)</f>
        <v/>
      </c>
      <c r="C31" s="647"/>
      <c r="D31" s="647"/>
      <c r="E31" s="647"/>
      <c r="F31" s="648"/>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53" t="str">
        <f>IF(基本情報入力シート!AF53=0, "",基本情報入力シート!AF53)</f>
        <v/>
      </c>
      <c r="M31" s="581"/>
      <c r="N31" s="517" t="str">
        <f>IFERROR(VLOOKUP(K31,【参考】数式用!$A$2:$F$57,MATCH(M31,【参考】数式用!$C$3:$F$3,0)+2,0),"")</f>
        <v/>
      </c>
      <c r="O31" s="506"/>
      <c r="P31" s="549" t="str">
        <f>IFERROR(VLOOKUP(K31,【参考】数式用!$A$2:$F$57,MATCH(O31,【参考】数式用!$C$3:$F$3,0)+2,0),"")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0" t="str">
        <f t="shared" si="12"/>
        <v/>
      </c>
      <c r="AE31" s="310" t="str">
        <f>IFERROR(ROUNDDOWN(ROUNDDOWN(ROUND(L31*VLOOKUP(K31,【参考】数式用!$A$4:$F$57,MATCH("処遇改善加算Ⅳ",【参考】数式用!$C$3:$F$3,0)+2,0),0),0)*AA31*0.5,0), "")</f>
        <v/>
      </c>
      <c r="AF31" s="321"/>
      <c r="AG31" s="322"/>
      <c r="AH31" s="322"/>
      <c r="AI31" s="321"/>
      <c r="AJ31" s="323"/>
      <c r="AK31" s="329"/>
      <c r="AL31" s="327" t="str">
        <f t="shared" si="0"/>
        <v/>
      </c>
      <c r="AM31" s="328" t="str">
        <f t="shared" si="19"/>
        <v/>
      </c>
      <c r="AN31" s="258"/>
      <c r="AO31" s="551" t="str">
        <f>IFERROR(VLOOKUP(K31,【参考】数式用!$A$2:$N$57,14,FALSE),"")</f>
        <v/>
      </c>
      <c r="AP31" s="551" t="str">
        <f t="shared" si="1"/>
        <v/>
      </c>
      <c r="AQ31" s="556" t="str">
        <f t="shared" si="2"/>
        <v/>
      </c>
      <c r="AR31" s="534" t="str">
        <f t="shared" si="3"/>
        <v>入力済</v>
      </c>
      <c r="AS31" s="551" t="str">
        <f t="shared" si="13"/>
        <v/>
      </c>
      <c r="AT31" s="534" t="str">
        <f t="shared" si="4"/>
        <v>入力済</v>
      </c>
      <c r="AU31" s="534" t="str">
        <f t="shared" si="14"/>
        <v/>
      </c>
      <c r="AV31" s="534" t="str">
        <f t="shared" si="5"/>
        <v/>
      </c>
      <c r="AW31" s="551" t="str">
        <f t="shared" si="6"/>
        <v/>
      </c>
      <c r="AX31" s="551" t="str">
        <f t="shared" si="15"/>
        <v/>
      </c>
      <c r="AY31" s="534" t="str">
        <f>IFERROR(VLOOKUP(K31,【参考】数式用!$AR$5:$AS$39,2, FALSE), "")</f>
        <v/>
      </c>
      <c r="AZ31" s="551" t="str">
        <f t="shared" si="16"/>
        <v/>
      </c>
      <c r="BA31" s="555" t="str">
        <f t="shared" si="7"/>
        <v>入力済</v>
      </c>
      <c r="BB31" s="534" t="str">
        <f>IFERROR(VLOOKUP(K31,【参考】数式用!$AX$3:$AY$59, 2, FALSE), "")</f>
        <v/>
      </c>
      <c r="BC31" s="551" t="str">
        <f t="shared" si="17"/>
        <v/>
      </c>
      <c r="BD31" s="555" t="str">
        <f t="shared" si="8"/>
        <v>入力済</v>
      </c>
      <c r="BE31" s="552" t="str">
        <f t="shared" si="18"/>
        <v/>
      </c>
      <c r="BF31" s="552" t="str">
        <f t="shared" si="9"/>
        <v/>
      </c>
    </row>
    <row r="32" spans="1:69" s="260" customFormat="1" ht="109.95" customHeight="1" thickBot="1">
      <c r="A32" s="306">
        <v>19</v>
      </c>
      <c r="B32" s="646" t="str">
        <f>IF(基本情報入力シート!B54="","",基本情報入力シート!B54)</f>
        <v/>
      </c>
      <c r="C32" s="647"/>
      <c r="D32" s="647"/>
      <c r="E32" s="647"/>
      <c r="F32" s="648"/>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53" t="str">
        <f>IF(基本情報入力シート!AF54=0, "",基本情報入力シート!AF54)</f>
        <v/>
      </c>
      <c r="M32" s="581"/>
      <c r="N32" s="517" t="str">
        <f>IFERROR(VLOOKUP(K32,【参考】数式用!$A$2:$F$57,MATCH(M32,【参考】数式用!$C$3:$F$3,0)+2,0),"")</f>
        <v/>
      </c>
      <c r="O32" s="506"/>
      <c r="P32" s="549" t="str">
        <f>IFERROR(VLOOKUP(K32,【参考】数式用!$A$2:$F$57,MATCH(O32,【参考】数式用!$C$3:$F$3,0)+2,0),"")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0" t="str">
        <f t="shared" si="12"/>
        <v/>
      </c>
      <c r="AE32" s="310" t="str">
        <f>IFERROR(ROUNDDOWN(ROUNDDOWN(ROUND(L32*VLOOKUP(K32,【参考】数式用!$A$4:$F$57,MATCH("処遇改善加算Ⅳ",【参考】数式用!$C$3:$F$3,0)+2,0),0),0)*AA32*0.5,0), "")</f>
        <v/>
      </c>
      <c r="AF32" s="321"/>
      <c r="AG32" s="322"/>
      <c r="AH32" s="322"/>
      <c r="AI32" s="321"/>
      <c r="AJ32" s="323"/>
      <c r="AK32" s="329"/>
      <c r="AL32" s="327" t="str">
        <f t="shared" si="0"/>
        <v/>
      </c>
      <c r="AM32" s="328" t="str">
        <f t="shared" si="19"/>
        <v/>
      </c>
      <c r="AN32" s="258"/>
      <c r="AO32" s="551" t="str">
        <f>IFERROR(VLOOKUP(K32,【参考】数式用!$A$2:$N$57,14,FALSE),"")</f>
        <v/>
      </c>
      <c r="AP32" s="551" t="str">
        <f t="shared" si="1"/>
        <v/>
      </c>
      <c r="AQ32" s="556" t="str">
        <f t="shared" si="2"/>
        <v/>
      </c>
      <c r="AR32" s="534" t="str">
        <f t="shared" si="3"/>
        <v>入力済</v>
      </c>
      <c r="AS32" s="551" t="str">
        <f t="shared" si="13"/>
        <v/>
      </c>
      <c r="AT32" s="534" t="str">
        <f t="shared" si="4"/>
        <v>入力済</v>
      </c>
      <c r="AU32" s="534" t="str">
        <f t="shared" si="14"/>
        <v/>
      </c>
      <c r="AV32" s="534" t="str">
        <f t="shared" si="5"/>
        <v/>
      </c>
      <c r="AW32" s="551" t="str">
        <f t="shared" si="6"/>
        <v/>
      </c>
      <c r="AX32" s="551" t="str">
        <f t="shared" si="15"/>
        <v/>
      </c>
      <c r="AY32" s="534" t="str">
        <f>IFERROR(VLOOKUP(K32,【参考】数式用!$AR$5:$AS$39,2, FALSE), "")</f>
        <v/>
      </c>
      <c r="AZ32" s="551" t="str">
        <f t="shared" si="16"/>
        <v/>
      </c>
      <c r="BA32" s="555" t="str">
        <f t="shared" si="7"/>
        <v>入力済</v>
      </c>
      <c r="BB32" s="534" t="str">
        <f>IFERROR(VLOOKUP(K32,【参考】数式用!$AX$3:$AY$59, 2, FALSE), "")</f>
        <v/>
      </c>
      <c r="BC32" s="551" t="str">
        <f t="shared" si="17"/>
        <v/>
      </c>
      <c r="BD32" s="555" t="str">
        <f t="shared" si="8"/>
        <v>入力済</v>
      </c>
      <c r="BE32" s="552" t="str">
        <f t="shared" si="18"/>
        <v/>
      </c>
      <c r="BF32" s="552" t="str">
        <f t="shared" si="9"/>
        <v/>
      </c>
    </row>
    <row r="33" spans="1:58" s="260" customFormat="1" ht="109.95" customHeight="1" thickBot="1">
      <c r="A33" s="306">
        <v>20</v>
      </c>
      <c r="B33" s="646" t="str">
        <f>IF(基本情報入力シート!B55="","",基本情報入力シート!B55)</f>
        <v/>
      </c>
      <c r="C33" s="647"/>
      <c r="D33" s="647"/>
      <c r="E33" s="647"/>
      <c r="F33" s="648"/>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53" t="str">
        <f>IF(基本情報入力シート!AF55=0, "",基本情報入力シート!AF55)</f>
        <v/>
      </c>
      <c r="M33" s="581"/>
      <c r="N33" s="517" t="str">
        <f>IFERROR(VLOOKUP(K33,【参考】数式用!$A$2:$F$57,MATCH(M33,【参考】数式用!$C$3:$F$3,0)+2,0),"")</f>
        <v/>
      </c>
      <c r="O33" s="506"/>
      <c r="P33" s="549" t="str">
        <f>IFERROR(VLOOKUP(K33,【参考】数式用!$A$2:$F$57,MATCH(O33,【参考】数式用!$C$3:$F$3,0)+2,0),"")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0" t="str">
        <f t="shared" si="12"/>
        <v/>
      </c>
      <c r="AE33" s="310" t="str">
        <f>IFERROR(ROUNDDOWN(ROUNDDOWN(ROUND(L33*VLOOKUP(K33,【参考】数式用!$A$4:$F$57,MATCH("処遇改善加算Ⅳ",【参考】数式用!$C$3:$F$3,0)+2,0),0),0)*AA33*0.5,0), "")</f>
        <v/>
      </c>
      <c r="AF33" s="321"/>
      <c r="AG33" s="322"/>
      <c r="AH33" s="322"/>
      <c r="AI33" s="321"/>
      <c r="AJ33" s="323"/>
      <c r="AK33" s="329"/>
      <c r="AL33" s="327" t="str">
        <f t="shared" si="0"/>
        <v/>
      </c>
      <c r="AM33" s="328" t="str">
        <f t="shared" si="19"/>
        <v/>
      </c>
      <c r="AN33" s="258"/>
      <c r="AO33" s="551" t="str">
        <f>IFERROR(VLOOKUP(K33,【参考】数式用!$A$2:$N$57,14,FALSE),"")</f>
        <v/>
      </c>
      <c r="AP33" s="551" t="str">
        <f t="shared" si="1"/>
        <v/>
      </c>
      <c r="AQ33" s="556" t="str">
        <f t="shared" si="2"/>
        <v/>
      </c>
      <c r="AR33" s="534" t="str">
        <f t="shared" si="3"/>
        <v>入力済</v>
      </c>
      <c r="AS33" s="551" t="str">
        <f t="shared" si="13"/>
        <v/>
      </c>
      <c r="AT33" s="534" t="str">
        <f t="shared" si="4"/>
        <v>入力済</v>
      </c>
      <c r="AU33" s="534" t="str">
        <f t="shared" si="14"/>
        <v/>
      </c>
      <c r="AV33" s="534" t="str">
        <f t="shared" si="5"/>
        <v/>
      </c>
      <c r="AW33" s="551" t="str">
        <f t="shared" si="6"/>
        <v/>
      </c>
      <c r="AX33" s="551" t="str">
        <f t="shared" si="15"/>
        <v/>
      </c>
      <c r="AY33" s="534" t="str">
        <f>IFERROR(VLOOKUP(K33,【参考】数式用!$AR$5:$AS$39,2, FALSE), "")</f>
        <v/>
      </c>
      <c r="AZ33" s="551" t="str">
        <f t="shared" si="16"/>
        <v/>
      </c>
      <c r="BA33" s="555" t="str">
        <f t="shared" si="7"/>
        <v>入力済</v>
      </c>
      <c r="BB33" s="534" t="str">
        <f>IFERROR(VLOOKUP(K33,【参考】数式用!$AX$3:$AY$59, 2, FALSE), "")</f>
        <v/>
      </c>
      <c r="BC33" s="551" t="str">
        <f t="shared" si="17"/>
        <v/>
      </c>
      <c r="BD33" s="555" t="str">
        <f t="shared" si="8"/>
        <v>入力済</v>
      </c>
      <c r="BE33" s="552" t="str">
        <f t="shared" si="18"/>
        <v/>
      </c>
      <c r="BF33" s="552" t="str">
        <f t="shared" si="9"/>
        <v/>
      </c>
    </row>
    <row r="34" spans="1:58" s="260" customFormat="1" ht="109.95" customHeight="1" thickBot="1">
      <c r="A34" s="306">
        <v>21</v>
      </c>
      <c r="B34" s="646" t="str">
        <f>IF(基本情報入力シート!B56="","",基本情報入力シート!B56)</f>
        <v/>
      </c>
      <c r="C34" s="647"/>
      <c r="D34" s="647"/>
      <c r="E34" s="647"/>
      <c r="F34" s="648"/>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53" t="str">
        <f>IF(基本情報入力シート!AF56=0, "",基本情報入力シート!AF56)</f>
        <v/>
      </c>
      <c r="M34" s="581"/>
      <c r="N34" s="517" t="str">
        <f>IFERROR(VLOOKUP(K34,【参考】数式用!$A$2:$F$57,MATCH(M34,【参考】数式用!$C$3:$F$3,0)+2,0),"")</f>
        <v/>
      </c>
      <c r="O34" s="506"/>
      <c r="P34" s="549" t="str">
        <f>IFERROR(VLOOKUP(K34,【参考】数式用!$A$2:$F$57,MATCH(O34,【参考】数式用!$C$3:$F$3,0)+2,0),"")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0" t="str">
        <f t="shared" si="12"/>
        <v/>
      </c>
      <c r="AE34" s="310" t="str">
        <f>IFERROR(ROUNDDOWN(ROUNDDOWN(ROUND(L34*VLOOKUP(K34,【参考】数式用!$A$4:$F$57,MATCH("処遇改善加算Ⅳ",【参考】数式用!$C$3:$F$3,0)+2,0),0),0)*AA34*0.5,0), "")</f>
        <v/>
      </c>
      <c r="AF34" s="321"/>
      <c r="AG34" s="322"/>
      <c r="AH34" s="322"/>
      <c r="AI34" s="321"/>
      <c r="AJ34" s="323"/>
      <c r="AK34" s="329"/>
      <c r="AL34" s="327" t="str">
        <f t="shared" si="0"/>
        <v/>
      </c>
      <c r="AM34" s="328" t="str">
        <f t="shared" si="19"/>
        <v/>
      </c>
      <c r="AN34" s="258"/>
      <c r="AO34" s="551" t="str">
        <f>IFERROR(VLOOKUP(K34,【参考】数式用!$A$2:$N$57,14,FALSE),"")</f>
        <v/>
      </c>
      <c r="AP34" s="551" t="str">
        <f t="shared" si="1"/>
        <v/>
      </c>
      <c r="AQ34" s="556" t="str">
        <f t="shared" si="2"/>
        <v/>
      </c>
      <c r="AR34" s="534" t="str">
        <f t="shared" si="3"/>
        <v>入力済</v>
      </c>
      <c r="AS34" s="551" t="str">
        <f t="shared" si="13"/>
        <v/>
      </c>
      <c r="AT34" s="534" t="str">
        <f t="shared" si="4"/>
        <v>入力済</v>
      </c>
      <c r="AU34" s="534" t="str">
        <f t="shared" si="14"/>
        <v/>
      </c>
      <c r="AV34" s="534" t="str">
        <f t="shared" si="5"/>
        <v/>
      </c>
      <c r="AW34" s="551" t="str">
        <f t="shared" si="6"/>
        <v/>
      </c>
      <c r="AX34" s="551" t="str">
        <f t="shared" si="15"/>
        <v/>
      </c>
      <c r="AY34" s="534" t="str">
        <f>IFERROR(VLOOKUP(K34,【参考】数式用!$AR$5:$AS$39,2, FALSE), "")</f>
        <v/>
      </c>
      <c r="AZ34" s="551" t="str">
        <f t="shared" si="16"/>
        <v/>
      </c>
      <c r="BA34" s="555" t="str">
        <f t="shared" si="7"/>
        <v>入力済</v>
      </c>
      <c r="BB34" s="534" t="str">
        <f>IFERROR(VLOOKUP(K34,【参考】数式用!$AX$3:$AY$59, 2, FALSE), "")</f>
        <v/>
      </c>
      <c r="BC34" s="551" t="str">
        <f t="shared" si="17"/>
        <v/>
      </c>
      <c r="BD34" s="555" t="str">
        <f t="shared" si="8"/>
        <v>入力済</v>
      </c>
      <c r="BE34" s="552" t="str">
        <f t="shared" si="18"/>
        <v/>
      </c>
      <c r="BF34" s="552" t="str">
        <f t="shared" si="9"/>
        <v/>
      </c>
    </row>
    <row r="35" spans="1:58" s="260" customFormat="1" ht="109.95" customHeight="1" thickBot="1">
      <c r="A35" s="306">
        <v>22</v>
      </c>
      <c r="B35" s="646" t="str">
        <f>IF(基本情報入力シート!B57="","",基本情報入力シート!B57)</f>
        <v/>
      </c>
      <c r="C35" s="647"/>
      <c r="D35" s="647"/>
      <c r="E35" s="647"/>
      <c r="F35" s="648"/>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53" t="str">
        <f>IF(基本情報入力シート!AF57=0, "",基本情報入力シート!AF57)</f>
        <v/>
      </c>
      <c r="M35" s="581"/>
      <c r="N35" s="517" t="str">
        <f>IFERROR(VLOOKUP(K35,【参考】数式用!$A$2:$F$57,MATCH(M35,【参考】数式用!$C$3:$F$3,0)+2,0),"")</f>
        <v/>
      </c>
      <c r="O35" s="506"/>
      <c r="P35" s="549" t="str">
        <f>IFERROR(VLOOKUP(K35,【参考】数式用!$A$2:$F$57,MATCH(O35,【参考】数式用!$C$3:$F$3,0)+2,0),"")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0" t="str">
        <f t="shared" si="12"/>
        <v/>
      </c>
      <c r="AE35" s="310" t="str">
        <f>IFERROR(ROUNDDOWN(ROUNDDOWN(ROUND(L35*VLOOKUP(K35,【参考】数式用!$A$4:$F$57,MATCH("処遇改善加算Ⅳ",【参考】数式用!$C$3:$F$3,0)+2,0),0),0)*AA35*0.5,0), "")</f>
        <v/>
      </c>
      <c r="AF35" s="321"/>
      <c r="AG35" s="322"/>
      <c r="AH35" s="322"/>
      <c r="AI35" s="321"/>
      <c r="AJ35" s="323"/>
      <c r="AK35" s="329"/>
      <c r="AL35" s="327" t="str">
        <f t="shared" si="0"/>
        <v/>
      </c>
      <c r="AM35" s="328" t="str">
        <f t="shared" si="19"/>
        <v/>
      </c>
      <c r="AN35" s="258"/>
      <c r="AO35" s="551" t="str">
        <f>IFERROR(VLOOKUP(K35,【参考】数式用!$A$2:$N$57,14,FALSE),"")</f>
        <v/>
      </c>
      <c r="AP35" s="551" t="str">
        <f t="shared" si="1"/>
        <v/>
      </c>
      <c r="AQ35" s="556" t="str">
        <f t="shared" si="2"/>
        <v/>
      </c>
      <c r="AR35" s="534" t="str">
        <f t="shared" si="3"/>
        <v>入力済</v>
      </c>
      <c r="AS35" s="551" t="str">
        <f t="shared" si="13"/>
        <v/>
      </c>
      <c r="AT35" s="534" t="str">
        <f t="shared" si="4"/>
        <v>入力済</v>
      </c>
      <c r="AU35" s="534" t="str">
        <f t="shared" si="14"/>
        <v/>
      </c>
      <c r="AV35" s="534" t="str">
        <f t="shared" si="5"/>
        <v/>
      </c>
      <c r="AW35" s="551" t="str">
        <f t="shared" si="6"/>
        <v/>
      </c>
      <c r="AX35" s="551" t="str">
        <f t="shared" si="15"/>
        <v/>
      </c>
      <c r="AY35" s="534" t="str">
        <f>IFERROR(VLOOKUP(K35,【参考】数式用!$AR$5:$AS$39,2, FALSE), "")</f>
        <v/>
      </c>
      <c r="AZ35" s="551" t="str">
        <f t="shared" si="16"/>
        <v/>
      </c>
      <c r="BA35" s="555" t="str">
        <f t="shared" si="7"/>
        <v>入力済</v>
      </c>
      <c r="BB35" s="534" t="str">
        <f>IFERROR(VLOOKUP(K35,【参考】数式用!$AX$3:$AY$59, 2, FALSE), "")</f>
        <v/>
      </c>
      <c r="BC35" s="551" t="str">
        <f t="shared" si="17"/>
        <v/>
      </c>
      <c r="BD35" s="555" t="str">
        <f t="shared" si="8"/>
        <v>入力済</v>
      </c>
      <c r="BE35" s="552" t="str">
        <f t="shared" si="18"/>
        <v/>
      </c>
      <c r="BF35" s="552" t="str">
        <f t="shared" si="9"/>
        <v/>
      </c>
    </row>
    <row r="36" spans="1:58" s="260" customFormat="1" ht="109.95" customHeight="1" thickBot="1">
      <c r="A36" s="306">
        <v>23</v>
      </c>
      <c r="B36" s="646" t="str">
        <f>IF(基本情報入力シート!B58="","",基本情報入力シート!B58)</f>
        <v/>
      </c>
      <c r="C36" s="647"/>
      <c r="D36" s="647"/>
      <c r="E36" s="647"/>
      <c r="F36" s="648"/>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53" t="str">
        <f>IF(基本情報入力シート!AF58=0, "",基本情報入力シート!AF58)</f>
        <v/>
      </c>
      <c r="M36" s="581"/>
      <c r="N36" s="517" t="str">
        <f>IFERROR(VLOOKUP(K36,【参考】数式用!$A$2:$F$57,MATCH(M36,【参考】数式用!$C$3:$F$3,0)+2,0),"")</f>
        <v/>
      </c>
      <c r="O36" s="506"/>
      <c r="P36" s="549" t="str">
        <f>IFERROR(VLOOKUP(K36,【参考】数式用!$A$2:$F$57,MATCH(O36,【参考】数式用!$C$3:$F$3,0)+2,0),"")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0" t="str">
        <f t="shared" si="12"/>
        <v/>
      </c>
      <c r="AE36" s="310" t="str">
        <f>IFERROR(ROUNDDOWN(ROUNDDOWN(ROUND(L36*VLOOKUP(K36,【参考】数式用!$A$4:$F$57,MATCH("処遇改善加算Ⅳ",【参考】数式用!$C$3:$F$3,0)+2,0),0),0)*AA36*0.5,0), "")</f>
        <v/>
      </c>
      <c r="AF36" s="321"/>
      <c r="AG36" s="322"/>
      <c r="AH36" s="322"/>
      <c r="AI36" s="321"/>
      <c r="AJ36" s="323"/>
      <c r="AK36" s="329"/>
      <c r="AL36" s="327" t="str">
        <f t="shared" si="0"/>
        <v/>
      </c>
      <c r="AM36" s="328" t="str">
        <f t="shared" si="19"/>
        <v/>
      </c>
      <c r="AN36" s="258"/>
      <c r="AO36" s="551" t="str">
        <f>IFERROR(VLOOKUP(K36,【参考】数式用!$A$2:$N$57,14,FALSE),"")</f>
        <v/>
      </c>
      <c r="AP36" s="551" t="str">
        <f t="shared" si="1"/>
        <v/>
      </c>
      <c r="AQ36" s="556" t="str">
        <f t="shared" si="2"/>
        <v/>
      </c>
      <c r="AR36" s="534" t="str">
        <f t="shared" si="3"/>
        <v>入力済</v>
      </c>
      <c r="AS36" s="551" t="str">
        <f t="shared" si="13"/>
        <v/>
      </c>
      <c r="AT36" s="534" t="str">
        <f t="shared" si="4"/>
        <v>入力済</v>
      </c>
      <c r="AU36" s="534" t="str">
        <f t="shared" si="14"/>
        <v/>
      </c>
      <c r="AV36" s="534" t="str">
        <f t="shared" si="5"/>
        <v/>
      </c>
      <c r="AW36" s="551" t="str">
        <f t="shared" si="6"/>
        <v/>
      </c>
      <c r="AX36" s="551" t="str">
        <f t="shared" si="15"/>
        <v/>
      </c>
      <c r="AY36" s="534" t="str">
        <f>IFERROR(VLOOKUP(K36,【参考】数式用!$AR$5:$AS$39,2, FALSE), "")</f>
        <v/>
      </c>
      <c r="AZ36" s="551" t="str">
        <f t="shared" si="16"/>
        <v/>
      </c>
      <c r="BA36" s="555" t="str">
        <f t="shared" si="7"/>
        <v>入力済</v>
      </c>
      <c r="BB36" s="534" t="str">
        <f>IFERROR(VLOOKUP(K36,【参考】数式用!$AX$3:$AY$59, 2, FALSE), "")</f>
        <v/>
      </c>
      <c r="BC36" s="551" t="str">
        <f t="shared" si="17"/>
        <v/>
      </c>
      <c r="BD36" s="555" t="str">
        <f t="shared" si="8"/>
        <v>入力済</v>
      </c>
      <c r="BE36" s="552" t="str">
        <f t="shared" si="18"/>
        <v/>
      </c>
      <c r="BF36" s="552" t="str">
        <f t="shared" si="9"/>
        <v/>
      </c>
    </row>
    <row r="37" spans="1:58" s="260" customFormat="1" ht="109.95" customHeight="1" thickBot="1">
      <c r="A37" s="306">
        <v>24</v>
      </c>
      <c r="B37" s="646" t="str">
        <f>IF(基本情報入力シート!B59="","",基本情報入力シート!B59)</f>
        <v/>
      </c>
      <c r="C37" s="647"/>
      <c r="D37" s="647"/>
      <c r="E37" s="647"/>
      <c r="F37" s="648"/>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53" t="str">
        <f>IF(基本情報入力シート!AF59=0, "",基本情報入力シート!AF59)</f>
        <v/>
      </c>
      <c r="M37" s="581"/>
      <c r="N37" s="517" t="str">
        <f>IFERROR(VLOOKUP(K37,【参考】数式用!$A$2:$F$57,MATCH(M37,【参考】数式用!$C$3:$F$3,0)+2,0),"")</f>
        <v/>
      </c>
      <c r="O37" s="506"/>
      <c r="P37" s="549" t="str">
        <f>IFERROR(VLOOKUP(K37,【参考】数式用!$A$2:$F$57,MATCH(O37,【参考】数式用!$C$3:$F$3,0)+2,0),"")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0" t="str">
        <f t="shared" si="12"/>
        <v/>
      </c>
      <c r="AE37" s="310" t="str">
        <f>IFERROR(ROUNDDOWN(ROUNDDOWN(ROUND(L37*VLOOKUP(K37,【参考】数式用!$A$4:$F$57,MATCH("処遇改善加算Ⅳ",【参考】数式用!$C$3:$F$3,0)+2,0),0),0)*AA37*0.5,0), "")</f>
        <v/>
      </c>
      <c r="AF37" s="321"/>
      <c r="AG37" s="322"/>
      <c r="AH37" s="322"/>
      <c r="AI37" s="321"/>
      <c r="AJ37" s="323"/>
      <c r="AK37" s="329"/>
      <c r="AL37" s="327" t="str">
        <f t="shared" si="0"/>
        <v/>
      </c>
      <c r="AM37" s="328" t="str">
        <f t="shared" si="19"/>
        <v/>
      </c>
      <c r="AN37" s="258"/>
      <c r="AO37" s="551" t="str">
        <f>IFERROR(VLOOKUP(K37,【参考】数式用!$A$2:$N$57,14,FALSE),"")</f>
        <v/>
      </c>
      <c r="AP37" s="551" t="str">
        <f t="shared" si="1"/>
        <v/>
      </c>
      <c r="AQ37" s="556" t="str">
        <f t="shared" si="2"/>
        <v/>
      </c>
      <c r="AR37" s="534" t="str">
        <f t="shared" si="3"/>
        <v>入力済</v>
      </c>
      <c r="AS37" s="551" t="str">
        <f t="shared" si="13"/>
        <v/>
      </c>
      <c r="AT37" s="534" t="str">
        <f t="shared" si="4"/>
        <v>入力済</v>
      </c>
      <c r="AU37" s="534" t="str">
        <f t="shared" si="14"/>
        <v/>
      </c>
      <c r="AV37" s="534" t="str">
        <f t="shared" si="5"/>
        <v/>
      </c>
      <c r="AW37" s="551" t="str">
        <f t="shared" si="6"/>
        <v/>
      </c>
      <c r="AX37" s="551" t="str">
        <f t="shared" si="15"/>
        <v/>
      </c>
      <c r="AY37" s="534" t="str">
        <f>IFERROR(VLOOKUP(K37,【参考】数式用!$AR$5:$AS$39,2, FALSE), "")</f>
        <v/>
      </c>
      <c r="AZ37" s="551" t="str">
        <f t="shared" si="16"/>
        <v/>
      </c>
      <c r="BA37" s="555" t="str">
        <f t="shared" si="7"/>
        <v>入力済</v>
      </c>
      <c r="BB37" s="534" t="str">
        <f>IFERROR(VLOOKUP(K37,【参考】数式用!$AX$3:$AY$59, 2, FALSE), "")</f>
        <v/>
      </c>
      <c r="BC37" s="551" t="str">
        <f t="shared" si="17"/>
        <v/>
      </c>
      <c r="BD37" s="555" t="str">
        <f t="shared" si="8"/>
        <v>入力済</v>
      </c>
      <c r="BE37" s="552" t="str">
        <f t="shared" si="18"/>
        <v/>
      </c>
      <c r="BF37" s="552" t="str">
        <f t="shared" si="9"/>
        <v/>
      </c>
    </row>
    <row r="38" spans="1:58" s="260" customFormat="1" ht="109.95" customHeight="1" thickBot="1">
      <c r="A38" s="306">
        <v>25</v>
      </c>
      <c r="B38" s="646" t="str">
        <f>IF(基本情報入力シート!B60="","",基本情報入力シート!B60)</f>
        <v/>
      </c>
      <c r="C38" s="647"/>
      <c r="D38" s="647"/>
      <c r="E38" s="647"/>
      <c r="F38" s="648"/>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53" t="str">
        <f>IF(基本情報入力シート!AF60=0, "",基本情報入力シート!AF60)</f>
        <v/>
      </c>
      <c r="M38" s="581"/>
      <c r="N38" s="517" t="str">
        <f>IFERROR(VLOOKUP(K38,【参考】数式用!$A$2:$F$57,MATCH(M38,【参考】数式用!$C$3:$F$3,0)+2,0),"")</f>
        <v/>
      </c>
      <c r="O38" s="506"/>
      <c r="P38" s="549" t="str">
        <f>IFERROR(VLOOKUP(K38,【参考】数式用!$A$2:$F$57,MATCH(O38,【参考】数式用!$C$3:$F$3,0)+2,0),"")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0" t="str">
        <f t="shared" si="12"/>
        <v/>
      </c>
      <c r="AE38" s="310" t="str">
        <f>IFERROR(ROUNDDOWN(ROUNDDOWN(ROUND(L38*VLOOKUP(K38,【参考】数式用!$A$4:$F$57,MATCH("処遇改善加算Ⅳ",【参考】数式用!$C$3:$F$3,0)+2,0),0),0)*AA38*0.5,0), "")</f>
        <v/>
      </c>
      <c r="AF38" s="321"/>
      <c r="AG38" s="322"/>
      <c r="AH38" s="322"/>
      <c r="AI38" s="321"/>
      <c r="AJ38" s="323"/>
      <c r="AK38" s="329"/>
      <c r="AL38" s="327" t="str">
        <f t="shared" si="0"/>
        <v/>
      </c>
      <c r="AM38" s="328" t="str">
        <f t="shared" si="19"/>
        <v/>
      </c>
      <c r="AN38" s="258"/>
      <c r="AO38" s="551" t="str">
        <f>IFERROR(VLOOKUP(K38,【参考】数式用!$A$2:$N$57,14,FALSE),"")</f>
        <v/>
      </c>
      <c r="AP38" s="551" t="str">
        <f t="shared" si="1"/>
        <v/>
      </c>
      <c r="AQ38" s="556" t="str">
        <f t="shared" si="2"/>
        <v/>
      </c>
      <c r="AR38" s="534" t="str">
        <f t="shared" si="3"/>
        <v>入力済</v>
      </c>
      <c r="AS38" s="551" t="str">
        <f t="shared" si="13"/>
        <v/>
      </c>
      <c r="AT38" s="534" t="str">
        <f t="shared" si="4"/>
        <v>入力済</v>
      </c>
      <c r="AU38" s="534" t="str">
        <f t="shared" si="14"/>
        <v/>
      </c>
      <c r="AV38" s="534" t="str">
        <f t="shared" si="5"/>
        <v/>
      </c>
      <c r="AW38" s="551" t="str">
        <f t="shared" si="6"/>
        <v/>
      </c>
      <c r="AX38" s="551" t="str">
        <f t="shared" si="15"/>
        <v/>
      </c>
      <c r="AY38" s="534" t="str">
        <f>IFERROR(VLOOKUP(K38,【参考】数式用!$AR$5:$AS$39,2, FALSE), "")</f>
        <v/>
      </c>
      <c r="AZ38" s="551" t="str">
        <f t="shared" si="16"/>
        <v/>
      </c>
      <c r="BA38" s="555" t="str">
        <f t="shared" si="7"/>
        <v>入力済</v>
      </c>
      <c r="BB38" s="534" t="str">
        <f>IFERROR(VLOOKUP(K38,【参考】数式用!$AX$3:$AY$59, 2, FALSE), "")</f>
        <v/>
      </c>
      <c r="BC38" s="551" t="str">
        <f t="shared" si="17"/>
        <v/>
      </c>
      <c r="BD38" s="555" t="str">
        <f t="shared" si="8"/>
        <v>入力済</v>
      </c>
      <c r="BE38" s="552" t="str">
        <f t="shared" si="18"/>
        <v/>
      </c>
      <c r="BF38" s="552" t="str">
        <f t="shared" si="9"/>
        <v/>
      </c>
    </row>
    <row r="39" spans="1:58" s="260" customFormat="1" ht="109.95" customHeight="1" thickBot="1">
      <c r="A39" s="306">
        <v>26</v>
      </c>
      <c r="B39" s="646" t="str">
        <f>IF(基本情報入力シート!B61="","",基本情報入力シート!B61)</f>
        <v/>
      </c>
      <c r="C39" s="647"/>
      <c r="D39" s="647"/>
      <c r="E39" s="647"/>
      <c r="F39" s="648"/>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53" t="str">
        <f>IF(基本情報入力シート!AF61=0, "",基本情報入力シート!AF61)</f>
        <v/>
      </c>
      <c r="M39" s="581"/>
      <c r="N39" s="517" t="str">
        <f>IFERROR(VLOOKUP(K39,【参考】数式用!$A$2:$F$57,MATCH(M39,【参考】数式用!$C$3:$F$3,0)+2,0),"")</f>
        <v/>
      </c>
      <c r="O39" s="506"/>
      <c r="P39" s="549" t="str">
        <f>IFERROR(VLOOKUP(K39,【参考】数式用!$A$2:$F$57,MATCH(O39,【参考】数式用!$C$3:$F$3,0)+2,0),"")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0" t="str">
        <f t="shared" si="12"/>
        <v/>
      </c>
      <c r="AE39" s="310" t="str">
        <f>IFERROR(ROUNDDOWN(ROUNDDOWN(ROUND(L39*VLOOKUP(K39,【参考】数式用!$A$4:$F$57,MATCH("処遇改善加算Ⅳ",【参考】数式用!$C$3:$F$3,0)+2,0),0),0)*AA39*0.5,0), "")</f>
        <v/>
      </c>
      <c r="AF39" s="321"/>
      <c r="AG39" s="322"/>
      <c r="AH39" s="322"/>
      <c r="AI39" s="321"/>
      <c r="AJ39" s="323"/>
      <c r="AK39" s="329"/>
      <c r="AL39" s="327" t="str">
        <f t="shared" si="0"/>
        <v/>
      </c>
      <c r="AM39" s="328" t="str">
        <f t="shared" si="19"/>
        <v/>
      </c>
      <c r="AN39" s="258"/>
      <c r="AO39" s="551" t="str">
        <f>IFERROR(VLOOKUP(K39,【参考】数式用!$A$2:$N$57,14,FALSE),"")</f>
        <v/>
      </c>
      <c r="AP39" s="551" t="str">
        <f t="shared" si="1"/>
        <v/>
      </c>
      <c r="AQ39" s="556" t="str">
        <f t="shared" si="2"/>
        <v/>
      </c>
      <c r="AR39" s="534" t="str">
        <f t="shared" si="3"/>
        <v>入力済</v>
      </c>
      <c r="AS39" s="551" t="str">
        <f t="shared" si="13"/>
        <v/>
      </c>
      <c r="AT39" s="534" t="str">
        <f t="shared" si="4"/>
        <v>入力済</v>
      </c>
      <c r="AU39" s="534" t="str">
        <f t="shared" si="14"/>
        <v/>
      </c>
      <c r="AV39" s="534" t="str">
        <f t="shared" si="5"/>
        <v/>
      </c>
      <c r="AW39" s="551" t="str">
        <f t="shared" si="6"/>
        <v/>
      </c>
      <c r="AX39" s="551" t="str">
        <f t="shared" si="15"/>
        <v/>
      </c>
      <c r="AY39" s="534" t="str">
        <f>IFERROR(VLOOKUP(K39,【参考】数式用!$AR$5:$AS$39,2, FALSE), "")</f>
        <v/>
      </c>
      <c r="AZ39" s="551" t="str">
        <f t="shared" si="16"/>
        <v/>
      </c>
      <c r="BA39" s="555" t="str">
        <f t="shared" si="7"/>
        <v>入力済</v>
      </c>
      <c r="BB39" s="534" t="str">
        <f>IFERROR(VLOOKUP(K39,【参考】数式用!$AX$3:$AY$59, 2, FALSE), "")</f>
        <v/>
      </c>
      <c r="BC39" s="551" t="str">
        <f t="shared" si="17"/>
        <v/>
      </c>
      <c r="BD39" s="555" t="str">
        <f t="shared" si="8"/>
        <v>入力済</v>
      </c>
      <c r="BE39" s="552" t="str">
        <f t="shared" si="18"/>
        <v/>
      </c>
      <c r="BF39" s="552" t="str">
        <f t="shared" si="9"/>
        <v/>
      </c>
    </row>
    <row r="40" spans="1:58" s="260" customFormat="1" ht="109.95" customHeight="1" thickBot="1">
      <c r="A40" s="306">
        <v>27</v>
      </c>
      <c r="B40" s="646" t="str">
        <f>IF(基本情報入力シート!B62="","",基本情報入力シート!B62)</f>
        <v/>
      </c>
      <c r="C40" s="647"/>
      <c r="D40" s="647"/>
      <c r="E40" s="647"/>
      <c r="F40" s="648"/>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53" t="str">
        <f>IF(基本情報入力シート!AF62=0, "",基本情報入力シート!AF62)</f>
        <v/>
      </c>
      <c r="M40" s="581"/>
      <c r="N40" s="517" t="str">
        <f>IFERROR(VLOOKUP(K40,【参考】数式用!$A$2:$F$57,MATCH(M40,【参考】数式用!$C$3:$F$3,0)+2,0),"")</f>
        <v/>
      </c>
      <c r="O40" s="506"/>
      <c r="P40" s="549" t="str">
        <f>IFERROR(VLOOKUP(K40,【参考】数式用!$A$2:$F$57,MATCH(O40,【参考】数式用!$C$3:$F$3,0)+2,0),"")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0" t="str">
        <f t="shared" si="12"/>
        <v/>
      </c>
      <c r="AE40" s="310" t="str">
        <f>IFERROR(ROUNDDOWN(ROUNDDOWN(ROUND(L40*VLOOKUP(K40,【参考】数式用!$A$4:$F$57,MATCH("処遇改善加算Ⅳ",【参考】数式用!$C$3:$F$3,0)+2,0),0),0)*AA40*0.5,0), "")</f>
        <v/>
      </c>
      <c r="AF40" s="321"/>
      <c r="AG40" s="322"/>
      <c r="AH40" s="322"/>
      <c r="AI40" s="321"/>
      <c r="AJ40" s="323"/>
      <c r="AK40" s="329"/>
      <c r="AL40" s="327" t="str">
        <f t="shared" si="0"/>
        <v/>
      </c>
      <c r="AM40" s="328" t="str">
        <f t="shared" si="19"/>
        <v/>
      </c>
      <c r="AN40" s="258"/>
      <c r="AO40" s="551" t="str">
        <f>IFERROR(VLOOKUP(K40,【参考】数式用!$A$2:$N$57,14,FALSE),"")</f>
        <v/>
      </c>
      <c r="AP40" s="551" t="str">
        <f t="shared" si="1"/>
        <v/>
      </c>
      <c r="AQ40" s="556" t="str">
        <f t="shared" si="2"/>
        <v/>
      </c>
      <c r="AR40" s="534" t="str">
        <f t="shared" si="3"/>
        <v>入力済</v>
      </c>
      <c r="AS40" s="551" t="str">
        <f t="shared" si="13"/>
        <v/>
      </c>
      <c r="AT40" s="534" t="str">
        <f t="shared" si="4"/>
        <v>入力済</v>
      </c>
      <c r="AU40" s="534" t="str">
        <f t="shared" si="14"/>
        <v/>
      </c>
      <c r="AV40" s="534" t="str">
        <f t="shared" si="5"/>
        <v/>
      </c>
      <c r="AW40" s="551" t="str">
        <f t="shared" si="6"/>
        <v/>
      </c>
      <c r="AX40" s="551" t="str">
        <f t="shared" si="15"/>
        <v/>
      </c>
      <c r="AY40" s="534" t="str">
        <f>IFERROR(VLOOKUP(K40,【参考】数式用!$AR$5:$AS$39,2, FALSE), "")</f>
        <v/>
      </c>
      <c r="AZ40" s="551" t="str">
        <f t="shared" si="16"/>
        <v/>
      </c>
      <c r="BA40" s="555" t="str">
        <f t="shared" si="7"/>
        <v>入力済</v>
      </c>
      <c r="BB40" s="534" t="str">
        <f>IFERROR(VLOOKUP(K40,【参考】数式用!$AX$3:$AY$59, 2, FALSE), "")</f>
        <v/>
      </c>
      <c r="BC40" s="551" t="str">
        <f t="shared" si="17"/>
        <v/>
      </c>
      <c r="BD40" s="555" t="str">
        <f t="shared" si="8"/>
        <v>入力済</v>
      </c>
      <c r="BE40" s="552" t="str">
        <f t="shared" si="18"/>
        <v/>
      </c>
      <c r="BF40" s="552" t="str">
        <f t="shared" si="9"/>
        <v/>
      </c>
    </row>
    <row r="41" spans="1:58" s="260" customFormat="1" ht="109.95" customHeight="1" thickBot="1">
      <c r="A41" s="306">
        <v>28</v>
      </c>
      <c r="B41" s="646" t="str">
        <f>IF(基本情報入力シート!B63="","",基本情報入力シート!B63)</f>
        <v/>
      </c>
      <c r="C41" s="647"/>
      <c r="D41" s="647"/>
      <c r="E41" s="647"/>
      <c r="F41" s="648"/>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53" t="str">
        <f>IF(基本情報入力シート!AF63=0, "",基本情報入力シート!AF63)</f>
        <v/>
      </c>
      <c r="M41" s="581"/>
      <c r="N41" s="517" t="str">
        <f>IFERROR(VLOOKUP(K41,【参考】数式用!$A$2:$F$57,MATCH(M41,【参考】数式用!$C$3:$F$3,0)+2,0),"")</f>
        <v/>
      </c>
      <c r="O41" s="506"/>
      <c r="P41" s="549" t="str">
        <f>IFERROR(VLOOKUP(K41,【参考】数式用!$A$2:$F$57,MATCH(O41,【参考】数式用!$C$3:$F$3,0)+2,0),"")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0" t="str">
        <f t="shared" si="12"/>
        <v/>
      </c>
      <c r="AE41" s="310" t="str">
        <f>IFERROR(ROUNDDOWN(ROUNDDOWN(ROUND(L41*VLOOKUP(K41,【参考】数式用!$A$4:$F$57,MATCH("処遇改善加算Ⅳ",【参考】数式用!$C$3:$F$3,0)+2,0),0),0)*AA41*0.5,0), "")</f>
        <v/>
      </c>
      <c r="AF41" s="321"/>
      <c r="AG41" s="322"/>
      <c r="AH41" s="322"/>
      <c r="AI41" s="321"/>
      <c r="AJ41" s="323"/>
      <c r="AK41" s="329"/>
      <c r="AL41" s="327" t="str">
        <f t="shared" si="0"/>
        <v/>
      </c>
      <c r="AM41" s="328" t="str">
        <f t="shared" si="19"/>
        <v/>
      </c>
      <c r="AN41" s="258"/>
      <c r="AO41" s="551" t="str">
        <f>IFERROR(VLOOKUP(K41,【参考】数式用!$A$2:$N$57,14,FALSE),"")</f>
        <v/>
      </c>
      <c r="AP41" s="551" t="str">
        <f t="shared" si="1"/>
        <v/>
      </c>
      <c r="AQ41" s="556" t="str">
        <f t="shared" si="2"/>
        <v/>
      </c>
      <c r="AR41" s="534" t="str">
        <f t="shared" si="3"/>
        <v>入力済</v>
      </c>
      <c r="AS41" s="551" t="str">
        <f t="shared" si="13"/>
        <v/>
      </c>
      <c r="AT41" s="534" t="str">
        <f t="shared" si="4"/>
        <v>入力済</v>
      </c>
      <c r="AU41" s="534" t="str">
        <f t="shared" si="14"/>
        <v/>
      </c>
      <c r="AV41" s="534" t="str">
        <f t="shared" si="5"/>
        <v/>
      </c>
      <c r="AW41" s="551" t="str">
        <f t="shared" si="6"/>
        <v/>
      </c>
      <c r="AX41" s="551" t="str">
        <f t="shared" si="15"/>
        <v/>
      </c>
      <c r="AY41" s="534" t="str">
        <f>IFERROR(VLOOKUP(K41,【参考】数式用!$AR$5:$AS$39,2, FALSE), "")</f>
        <v/>
      </c>
      <c r="AZ41" s="551" t="str">
        <f t="shared" si="16"/>
        <v/>
      </c>
      <c r="BA41" s="555" t="str">
        <f t="shared" si="7"/>
        <v>入力済</v>
      </c>
      <c r="BB41" s="534" t="str">
        <f>IFERROR(VLOOKUP(K41,【参考】数式用!$AX$3:$AY$59, 2, FALSE), "")</f>
        <v/>
      </c>
      <c r="BC41" s="551" t="str">
        <f t="shared" si="17"/>
        <v/>
      </c>
      <c r="BD41" s="555" t="str">
        <f t="shared" si="8"/>
        <v>入力済</v>
      </c>
      <c r="BE41" s="552" t="str">
        <f t="shared" si="18"/>
        <v/>
      </c>
      <c r="BF41" s="552" t="str">
        <f t="shared" si="9"/>
        <v/>
      </c>
    </row>
    <row r="42" spans="1:58" ht="109.95" customHeight="1" thickBot="1">
      <c r="A42" s="306">
        <v>29</v>
      </c>
      <c r="B42" s="646" t="str">
        <f>IF(基本情報入力シート!B64="","",基本情報入力シート!B64)</f>
        <v/>
      </c>
      <c r="C42" s="647"/>
      <c r="D42" s="647"/>
      <c r="E42" s="647"/>
      <c r="F42" s="648"/>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53" t="str">
        <f>IF(基本情報入力シート!AF64=0, "",基本情報入力シート!AF64)</f>
        <v/>
      </c>
      <c r="M42" s="581"/>
      <c r="N42" s="517" t="str">
        <f>IFERROR(VLOOKUP(K42,【参考】数式用!$A$2:$F$57,MATCH(M42,【参考】数式用!$C$3:$F$3,0)+2,0),"")</f>
        <v/>
      </c>
      <c r="O42" s="506"/>
      <c r="P42" s="549" t="str">
        <f>IFERROR(VLOOKUP(K42,【参考】数式用!$A$2:$F$57,MATCH(O42,【参考】数式用!$C$3:$F$3,0)+2,0),"")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0" t="str">
        <f t="shared" si="12"/>
        <v/>
      </c>
      <c r="AE42" s="310" t="str">
        <f>IFERROR(ROUNDDOWN(ROUNDDOWN(ROUND(L42*VLOOKUP(K42,【参考】数式用!$A$4:$F$57,MATCH("処遇改善加算Ⅳ",【参考】数式用!$C$3:$F$3,0)+2,0),0),0)*AA42*0.5,0), "")</f>
        <v/>
      </c>
      <c r="AF42" s="321"/>
      <c r="AG42" s="322"/>
      <c r="AH42" s="322"/>
      <c r="AI42" s="321"/>
      <c r="AJ42" s="323"/>
      <c r="AK42" s="329"/>
      <c r="AL42" s="327" t="str">
        <f t="shared" si="0"/>
        <v/>
      </c>
      <c r="AM42" s="328" t="str">
        <f t="shared" si="19"/>
        <v/>
      </c>
      <c r="AN42" s="258"/>
      <c r="AO42" s="551" t="str">
        <f>IFERROR(VLOOKUP(K42,【参考】数式用!$A$2:$N$57,14,FALSE),"")</f>
        <v/>
      </c>
      <c r="AP42" s="551" t="str">
        <f t="shared" si="1"/>
        <v/>
      </c>
      <c r="AQ42" s="556" t="str">
        <f t="shared" si="2"/>
        <v/>
      </c>
      <c r="AR42" s="534" t="str">
        <f t="shared" si="3"/>
        <v>入力済</v>
      </c>
      <c r="AS42" s="551" t="str">
        <f t="shared" si="13"/>
        <v/>
      </c>
      <c r="AT42" s="534" t="str">
        <f t="shared" si="4"/>
        <v>入力済</v>
      </c>
      <c r="AU42" s="534" t="str">
        <f t="shared" si="14"/>
        <v/>
      </c>
      <c r="AV42" s="534" t="str">
        <f t="shared" si="5"/>
        <v/>
      </c>
      <c r="AW42" s="551" t="str">
        <f t="shared" si="6"/>
        <v/>
      </c>
      <c r="AX42" s="551" t="str">
        <f t="shared" si="15"/>
        <v/>
      </c>
      <c r="AY42" s="534" t="str">
        <f>IFERROR(VLOOKUP(K42,【参考】数式用!$AR$5:$AS$39,2, FALSE), "")</f>
        <v/>
      </c>
      <c r="AZ42" s="551" t="str">
        <f t="shared" si="16"/>
        <v/>
      </c>
      <c r="BA42" s="555" t="str">
        <f t="shared" si="7"/>
        <v>入力済</v>
      </c>
      <c r="BB42" s="534" t="str">
        <f>IFERROR(VLOOKUP(K42,【参考】数式用!$AX$3:$AY$59, 2, FALSE), "")</f>
        <v/>
      </c>
      <c r="BC42" s="551" t="str">
        <f t="shared" si="17"/>
        <v/>
      </c>
      <c r="BD42" s="555" t="str">
        <f t="shared" si="8"/>
        <v>入力済</v>
      </c>
      <c r="BE42" s="552" t="str">
        <f t="shared" si="18"/>
        <v/>
      </c>
      <c r="BF42" s="552" t="str">
        <f t="shared" si="9"/>
        <v/>
      </c>
    </row>
    <row r="43" spans="1:58" ht="109.95" customHeight="1" thickBot="1">
      <c r="A43" s="306">
        <v>30</v>
      </c>
      <c r="B43" s="646" t="str">
        <f>IF(基本情報入力シート!B65="","",基本情報入力シート!B65)</f>
        <v/>
      </c>
      <c r="C43" s="647"/>
      <c r="D43" s="647"/>
      <c r="E43" s="647"/>
      <c r="F43" s="648"/>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53" t="str">
        <f>IF(基本情報入力シート!AF65=0, "",基本情報入力シート!AF65)</f>
        <v/>
      </c>
      <c r="M43" s="581"/>
      <c r="N43" s="517" t="str">
        <f>IFERROR(VLOOKUP(K43,【参考】数式用!$A$2:$F$57,MATCH(M43,【参考】数式用!$C$3:$F$3,0)+2,0),"")</f>
        <v/>
      </c>
      <c r="O43" s="506"/>
      <c r="P43" s="549" t="str">
        <f>IFERROR(VLOOKUP(K43,【参考】数式用!$A$2:$F$57,MATCH(O43,【参考】数式用!$C$3:$F$3,0)+2,0),"")</f>
        <v/>
      </c>
      <c r="Q43" s="313" t="s">
        <v>113</v>
      </c>
      <c r="R43" s="311"/>
      <c r="S43" s="312" t="s">
        <v>178</v>
      </c>
      <c r="T43" s="311"/>
      <c r="U43" s="312" t="s">
        <v>179</v>
      </c>
      <c r="V43" s="311"/>
      <c r="W43" s="312" t="s">
        <v>178</v>
      </c>
      <c r="X43" s="311"/>
      <c r="Y43" s="312" t="s">
        <v>180</v>
      </c>
      <c r="Z43" s="312" t="s">
        <v>181</v>
      </c>
      <c r="AA43" s="312" t="str">
        <f t="shared" ref="AA43:AA83" si="20">IF(R43&gt;=1,(V43*12+X43)-(R43*12+T43)+1,"")</f>
        <v/>
      </c>
      <c r="AB43" s="308" t="s">
        <v>182</v>
      </c>
      <c r="AC43" s="309" t="str">
        <f t="shared" si="11"/>
        <v/>
      </c>
      <c r="AD43" s="510" t="str">
        <f t="shared" si="12"/>
        <v/>
      </c>
      <c r="AE43" s="310" t="str">
        <f>IFERROR(ROUNDDOWN(ROUNDDOWN(ROUND(L43*VLOOKUP(K43,【参考】数式用!$A$4:$F$57,MATCH("処遇改善加算Ⅳ",【参考】数式用!$C$3:$F$3,0)+2,0),0),0)*AA43*0.5,0), "")</f>
        <v/>
      </c>
      <c r="AF43" s="321"/>
      <c r="AG43" s="322"/>
      <c r="AH43" s="322"/>
      <c r="AI43" s="321"/>
      <c r="AJ43" s="323"/>
      <c r="AK43" s="329"/>
      <c r="AL43" s="327" t="str">
        <f t="shared" si="0"/>
        <v/>
      </c>
      <c r="AM43" s="328" t="str">
        <f t="shared" si="19"/>
        <v/>
      </c>
      <c r="AN43" s="258"/>
      <c r="AO43" s="551" t="str">
        <f>IFERROR(VLOOKUP(K43,【参考】数式用!$A$2:$N$57,14,FALSE),"")</f>
        <v/>
      </c>
      <c r="AP43" s="551" t="str">
        <f t="shared" si="1"/>
        <v/>
      </c>
      <c r="AQ43" s="556" t="str">
        <f t="shared" si="2"/>
        <v/>
      </c>
      <c r="AR43" s="534" t="str">
        <f t="shared" si="3"/>
        <v>入力済</v>
      </c>
      <c r="AS43" s="551" t="str">
        <f t="shared" si="13"/>
        <v/>
      </c>
      <c r="AT43" s="534" t="str">
        <f t="shared" si="4"/>
        <v>入力済</v>
      </c>
      <c r="AU43" s="534" t="str">
        <f t="shared" si="14"/>
        <v/>
      </c>
      <c r="AV43" s="534" t="str">
        <f t="shared" si="5"/>
        <v/>
      </c>
      <c r="AW43" s="551" t="str">
        <f t="shared" si="6"/>
        <v/>
      </c>
      <c r="AX43" s="551" t="str">
        <f t="shared" si="15"/>
        <v/>
      </c>
      <c r="AY43" s="534" t="str">
        <f>IFERROR(VLOOKUP(K43,【参考】数式用!$AR$5:$AS$39,2, FALSE), "")</f>
        <v/>
      </c>
      <c r="AZ43" s="551" t="str">
        <f t="shared" si="16"/>
        <v/>
      </c>
      <c r="BA43" s="555" t="str">
        <f t="shared" si="7"/>
        <v>入力済</v>
      </c>
      <c r="BB43" s="534" t="str">
        <f>IFERROR(VLOOKUP(K43,【参考】数式用!$AX$3:$AY$59, 2, FALSE), "")</f>
        <v/>
      </c>
      <c r="BC43" s="551" t="str">
        <f t="shared" si="17"/>
        <v/>
      </c>
      <c r="BD43" s="555" t="str">
        <f t="shared" si="8"/>
        <v>入力済</v>
      </c>
      <c r="BE43" s="552" t="str">
        <f t="shared" si="18"/>
        <v/>
      </c>
      <c r="BF43" s="552" t="str">
        <f t="shared" si="9"/>
        <v/>
      </c>
    </row>
    <row r="44" spans="1:58" ht="109.95" customHeight="1" thickBot="1">
      <c r="A44" s="306">
        <v>31</v>
      </c>
      <c r="B44" s="646" t="str">
        <f>IF(基本情報入力シート!B66="","",基本情報入力シート!B66)</f>
        <v/>
      </c>
      <c r="C44" s="647"/>
      <c r="D44" s="647"/>
      <c r="E44" s="647"/>
      <c r="F44" s="648"/>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53" t="str">
        <f>IF(基本情報入力シート!AF66=0, "",基本情報入力シート!AF66)</f>
        <v/>
      </c>
      <c r="M44" s="581"/>
      <c r="N44" s="517" t="str">
        <f>IFERROR(VLOOKUP(K44,【参考】数式用!$A$2:$F$57,MATCH(M44,【参考】数式用!$C$3:$F$3,0)+2,0),"")</f>
        <v/>
      </c>
      <c r="O44" s="506"/>
      <c r="P44" s="549" t="str">
        <f>IFERROR(VLOOKUP(K44,【参考】数式用!$A$2:$F$57,MATCH(O44,【参考】数式用!$C$3:$F$3,0)+2,0),"")</f>
        <v/>
      </c>
      <c r="Q44" s="313" t="s">
        <v>113</v>
      </c>
      <c r="R44" s="311"/>
      <c r="S44" s="312" t="s">
        <v>178</v>
      </c>
      <c r="T44" s="311"/>
      <c r="U44" s="312" t="s">
        <v>179</v>
      </c>
      <c r="V44" s="311"/>
      <c r="W44" s="312" t="s">
        <v>178</v>
      </c>
      <c r="X44" s="311"/>
      <c r="Y44" s="312" t="s">
        <v>180</v>
      </c>
      <c r="Z44" s="312" t="s">
        <v>181</v>
      </c>
      <c r="AA44" s="312" t="str">
        <f t="shared" si="20"/>
        <v/>
      </c>
      <c r="AB44" s="308" t="s">
        <v>182</v>
      </c>
      <c r="AC44" s="309" t="str">
        <f t="shared" si="11"/>
        <v/>
      </c>
      <c r="AD44" s="510" t="str">
        <f t="shared" si="12"/>
        <v/>
      </c>
      <c r="AE44" s="310" t="str">
        <f>IFERROR(ROUNDDOWN(ROUNDDOWN(ROUND(L44*VLOOKUP(K44,【参考】数式用!$A$4:$F$57,MATCH("処遇改善加算Ⅳ",【参考】数式用!$C$3:$F$3,0)+2,0),0),0)*AA44*0.5,0), "")</f>
        <v/>
      </c>
      <c r="AF44" s="321"/>
      <c r="AG44" s="322"/>
      <c r="AH44" s="322"/>
      <c r="AI44" s="321"/>
      <c r="AJ44" s="323"/>
      <c r="AK44" s="329"/>
      <c r="AL44" s="327" t="str">
        <f t="shared" si="0"/>
        <v/>
      </c>
      <c r="AM44" s="328" t="str">
        <f t="shared" si="19"/>
        <v/>
      </c>
      <c r="AN44" s="258"/>
      <c r="AO44" s="551" t="str">
        <f>IFERROR(VLOOKUP(K44,【参考】数式用!$A$2:$N$57,14,FALSE),"")</f>
        <v/>
      </c>
      <c r="AP44" s="551" t="str">
        <f t="shared" si="1"/>
        <v/>
      </c>
      <c r="AQ44" s="556" t="str">
        <f t="shared" si="2"/>
        <v/>
      </c>
      <c r="AR44" s="534" t="str">
        <f t="shared" si="3"/>
        <v>入力済</v>
      </c>
      <c r="AS44" s="551" t="str">
        <f t="shared" si="13"/>
        <v/>
      </c>
      <c r="AT44" s="534" t="str">
        <f t="shared" si="4"/>
        <v>入力済</v>
      </c>
      <c r="AU44" s="534" t="str">
        <f t="shared" si="14"/>
        <v/>
      </c>
      <c r="AV44" s="534" t="str">
        <f t="shared" si="5"/>
        <v/>
      </c>
      <c r="AW44" s="551" t="str">
        <f t="shared" si="6"/>
        <v/>
      </c>
      <c r="AX44" s="551" t="str">
        <f t="shared" si="15"/>
        <v/>
      </c>
      <c r="AY44" s="534" t="str">
        <f>IFERROR(VLOOKUP(K44,【参考】数式用!$AR$5:$AS$39,2, FALSE), "")</f>
        <v/>
      </c>
      <c r="AZ44" s="551" t="str">
        <f t="shared" si="16"/>
        <v/>
      </c>
      <c r="BA44" s="555" t="str">
        <f t="shared" si="7"/>
        <v>入力済</v>
      </c>
      <c r="BB44" s="534" t="str">
        <f>IFERROR(VLOOKUP(K44,【参考】数式用!$AX$3:$AY$59, 2, FALSE), "")</f>
        <v/>
      </c>
      <c r="BC44" s="551" t="str">
        <f t="shared" si="17"/>
        <v/>
      </c>
      <c r="BD44" s="555" t="str">
        <f t="shared" si="8"/>
        <v>入力済</v>
      </c>
      <c r="BE44" s="552" t="str">
        <f t="shared" si="18"/>
        <v/>
      </c>
      <c r="BF44" s="552" t="str">
        <f t="shared" si="9"/>
        <v/>
      </c>
    </row>
    <row r="45" spans="1:58" ht="109.95" customHeight="1" thickBot="1">
      <c r="A45" s="306">
        <v>32</v>
      </c>
      <c r="B45" s="646" t="str">
        <f>IF(基本情報入力シート!B67="","",基本情報入力シート!B67)</f>
        <v/>
      </c>
      <c r="C45" s="647"/>
      <c r="D45" s="647"/>
      <c r="E45" s="647"/>
      <c r="F45" s="648"/>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53" t="str">
        <f>IF(基本情報入力シート!AF67=0, "",基本情報入力シート!AF67)</f>
        <v/>
      </c>
      <c r="M45" s="581"/>
      <c r="N45" s="517" t="str">
        <f>IFERROR(VLOOKUP(K45,【参考】数式用!$A$2:$F$57,MATCH(M45,【参考】数式用!$C$3:$F$3,0)+2,0),"")</f>
        <v/>
      </c>
      <c r="O45" s="506"/>
      <c r="P45" s="549" t="str">
        <f>IFERROR(VLOOKUP(K45,【参考】数式用!$A$2:$F$57,MATCH(O45,【参考】数式用!$C$3:$F$3,0)+2,0),"")</f>
        <v/>
      </c>
      <c r="Q45" s="313" t="s">
        <v>113</v>
      </c>
      <c r="R45" s="311"/>
      <c r="S45" s="312" t="s">
        <v>178</v>
      </c>
      <c r="T45" s="311"/>
      <c r="U45" s="312" t="s">
        <v>179</v>
      </c>
      <c r="V45" s="311"/>
      <c r="W45" s="312" t="s">
        <v>178</v>
      </c>
      <c r="X45" s="311"/>
      <c r="Y45" s="312" t="s">
        <v>180</v>
      </c>
      <c r="Z45" s="312" t="s">
        <v>181</v>
      </c>
      <c r="AA45" s="312" t="str">
        <f t="shared" si="20"/>
        <v/>
      </c>
      <c r="AB45" s="308" t="s">
        <v>182</v>
      </c>
      <c r="AC45" s="309" t="str">
        <f t="shared" si="11"/>
        <v/>
      </c>
      <c r="AD45" s="510" t="str">
        <f t="shared" si="12"/>
        <v/>
      </c>
      <c r="AE45" s="310" t="str">
        <f>IFERROR(ROUNDDOWN(ROUNDDOWN(ROUND(L45*VLOOKUP(K45,【参考】数式用!$A$4:$F$57,MATCH("処遇改善加算Ⅳ",【参考】数式用!$C$3:$F$3,0)+2,0),0),0)*AA45*0.5,0), "")</f>
        <v/>
      </c>
      <c r="AF45" s="321"/>
      <c r="AG45" s="322"/>
      <c r="AH45" s="322"/>
      <c r="AI45" s="321"/>
      <c r="AJ45" s="323"/>
      <c r="AK45" s="329"/>
      <c r="AL45" s="327"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8" t="str">
        <f t="shared" si="19"/>
        <v/>
      </c>
      <c r="AN45" s="258"/>
      <c r="AO45" s="551" t="str">
        <f>IFERROR(VLOOKUP(K45,【参考】数式用!$A$2:$N$57,14,FALSE),"")</f>
        <v/>
      </c>
      <c r="AP45" s="551" t="str">
        <f t="shared" ref="AP45:AP76" si="22">IF(AND(K45&lt;&gt;"",AO45="加算対象"),"N列に色付け","")</f>
        <v/>
      </c>
      <c r="AQ45" s="556" t="str">
        <f t="shared" ref="AQ45:AQ76" si="23">IF(AND(AE45&lt;&gt;0,AE45&lt;&gt;"",AO45="加算対象"),IF(AF45="○","入力済","未入力"),"")</f>
        <v/>
      </c>
      <c r="AR45" s="534" t="str">
        <f t="shared" ref="AR45:AR76" si="24">IF(AND(O45&lt;&gt;"", AG45="",AO45="加算対象"), "未入力", "入力済")</f>
        <v>入力済</v>
      </c>
      <c r="AS45" s="551" t="str">
        <f t="shared" si="13"/>
        <v/>
      </c>
      <c r="AT45" s="534" t="str">
        <f t="shared" ref="AT45:AT76" si="25">IF(AND(O45&lt;&gt;"", O45&lt;&gt;"処遇改善加算Ⅳ", AH45=""), "未入力", "入力済")</f>
        <v>入力済</v>
      </c>
      <c r="AU45" s="534" t="str">
        <f t="shared" si="14"/>
        <v/>
      </c>
      <c r="AV45" s="534" t="str">
        <f t="shared" ref="AV45:AV76" si="26">IF(AND(AO45="加算対象",O45&lt;&gt;"処遇改善加算Ⅲ",O45&lt;&gt;"処遇改善加算Ⅳ", O45&lt;&gt;"", AU45&lt;&gt;"対象外"), 1,"")</f>
        <v/>
      </c>
      <c r="AW45" s="551" t="str">
        <f t="shared" ref="AW45:AW76" si="27">IF(AND(AV45=1, OR(AI45=0,AI45=""),AO45="加算対象"),"AH列に色付け","")</f>
        <v/>
      </c>
      <c r="AX45" s="551" t="str">
        <f t="shared" si="15"/>
        <v/>
      </c>
      <c r="AY45" s="534" t="str">
        <f>IFERROR(VLOOKUP(K45,【参考】数式用!$AR$5:$AS$39,2, FALSE), "")</f>
        <v/>
      </c>
      <c r="AZ45" s="551" t="str">
        <f t="shared" si="16"/>
        <v/>
      </c>
      <c r="BA45" s="555" t="str">
        <f t="shared" ref="BA45:BA76" si="28">IF(AND(O45="処遇改善加算Ⅰ", AJ45=""), "未入力","入力済")</f>
        <v>入力済</v>
      </c>
      <c r="BB45" s="534" t="str">
        <f>IFERROR(VLOOKUP(K45,【参考】数式用!$AX$3:$AY$59, 2, FALSE), "")</f>
        <v/>
      </c>
      <c r="BC45" s="551" t="str">
        <f t="shared" si="17"/>
        <v/>
      </c>
      <c r="BD45" s="555" t="str">
        <f t="shared" ref="BD45:BD76" si="29">IF(AND(COUNTIF(AG45:AI45,"*令和８年度特例要件を*")&gt;0,AK45=""), "未入力","入力済")</f>
        <v>入力済</v>
      </c>
      <c r="BE45" s="552" t="str">
        <f t="shared" si="18"/>
        <v/>
      </c>
      <c r="BF45" s="552" t="str">
        <f t="shared" ref="BF45:BF76" si="30">G45</f>
        <v/>
      </c>
    </row>
    <row r="46" spans="1:58" ht="109.95" customHeight="1" thickBot="1">
      <c r="A46" s="306">
        <v>33</v>
      </c>
      <c r="B46" s="646" t="str">
        <f>IF(基本情報入力シート!B68="","",基本情報入力シート!B68)</f>
        <v/>
      </c>
      <c r="C46" s="647"/>
      <c r="D46" s="647"/>
      <c r="E46" s="647"/>
      <c r="F46" s="648"/>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53" t="str">
        <f>IF(基本情報入力シート!AF68=0, "",基本情報入力シート!AF68)</f>
        <v/>
      </c>
      <c r="M46" s="581"/>
      <c r="N46" s="517" t="str">
        <f>IFERROR(VLOOKUP(K46,【参考】数式用!$A$2:$F$57,MATCH(M46,【参考】数式用!$C$3:$F$3,0)+2,0),"")</f>
        <v/>
      </c>
      <c r="O46" s="506"/>
      <c r="P46" s="549" t="str">
        <f>IFERROR(VLOOKUP(K46,【参考】数式用!$A$2:$F$57,MATCH(O46,【参考】数式用!$C$3:$F$3,0)+2,0),"")</f>
        <v/>
      </c>
      <c r="Q46" s="313" t="s">
        <v>113</v>
      </c>
      <c r="R46" s="311"/>
      <c r="S46" s="312" t="s">
        <v>178</v>
      </c>
      <c r="T46" s="311"/>
      <c r="U46" s="312" t="s">
        <v>179</v>
      </c>
      <c r="V46" s="311"/>
      <c r="W46" s="312" t="s">
        <v>178</v>
      </c>
      <c r="X46" s="311"/>
      <c r="Y46" s="312" t="s">
        <v>180</v>
      </c>
      <c r="Z46" s="312" t="s">
        <v>181</v>
      </c>
      <c r="AA46" s="312" t="str">
        <f t="shared" si="20"/>
        <v/>
      </c>
      <c r="AB46" s="308" t="s">
        <v>182</v>
      </c>
      <c r="AC46" s="309" t="str">
        <f t="shared" si="11"/>
        <v/>
      </c>
      <c r="AD46" s="510" t="str">
        <f t="shared" si="12"/>
        <v/>
      </c>
      <c r="AE46" s="310" t="str">
        <f>IFERROR(ROUNDDOWN(ROUNDDOWN(ROUND(L46*VLOOKUP(K46,【参考】数式用!$A$4:$F$57,MATCH("処遇改善加算Ⅳ",【参考】数式用!$C$3:$F$3,0)+2,0),0),0)*AA46*0.5,0), "")</f>
        <v/>
      </c>
      <c r="AF46" s="321"/>
      <c r="AG46" s="322"/>
      <c r="AH46" s="322"/>
      <c r="AI46" s="321"/>
      <c r="AJ46" s="323"/>
      <c r="AK46" s="329"/>
      <c r="AL46" s="327" t="str">
        <f t="shared" si="21"/>
        <v/>
      </c>
      <c r="AM46" s="328" t="str">
        <f t="shared" si="19"/>
        <v/>
      </c>
      <c r="AN46" s="258"/>
      <c r="AO46" s="551" t="str">
        <f>IFERROR(VLOOKUP(K46,【参考】数式用!$A$2:$N$57,14,FALSE),"")</f>
        <v/>
      </c>
      <c r="AP46" s="551" t="str">
        <f t="shared" si="22"/>
        <v/>
      </c>
      <c r="AQ46" s="556" t="str">
        <f t="shared" si="23"/>
        <v/>
      </c>
      <c r="AR46" s="534" t="str">
        <f t="shared" si="24"/>
        <v>入力済</v>
      </c>
      <c r="AS46" s="551" t="str">
        <f t="shared" si="13"/>
        <v/>
      </c>
      <c r="AT46" s="534" t="str">
        <f t="shared" si="25"/>
        <v>入力済</v>
      </c>
      <c r="AU46" s="534" t="str">
        <f t="shared" ref="AU46:AU77" si="31">IF(OR(O46="処遇改善加算Ⅰ",O46="処遇改善加算Ⅱ"),"対象","")</f>
        <v/>
      </c>
      <c r="AV46" s="534" t="str">
        <f t="shared" si="26"/>
        <v/>
      </c>
      <c r="AW46" s="551" t="str">
        <f t="shared" si="27"/>
        <v/>
      </c>
      <c r="AX46" s="551" t="str">
        <f t="shared" si="15"/>
        <v/>
      </c>
      <c r="AY46" s="534" t="str">
        <f>IFERROR(VLOOKUP(K46,【参考】数式用!$AR$5:$AS$39,2, FALSE), "")</f>
        <v/>
      </c>
      <c r="AZ46" s="551" t="str">
        <f t="shared" si="16"/>
        <v/>
      </c>
      <c r="BA46" s="555" t="str">
        <f t="shared" si="28"/>
        <v>入力済</v>
      </c>
      <c r="BB46" s="534" t="str">
        <f>IFERROR(VLOOKUP(K46,【参考】数式用!$AX$3:$AY$59, 2, FALSE), "")</f>
        <v/>
      </c>
      <c r="BC46" s="551" t="str">
        <f t="shared" si="17"/>
        <v/>
      </c>
      <c r="BD46" s="555" t="str">
        <f t="shared" si="29"/>
        <v>入力済</v>
      </c>
      <c r="BE46" s="552" t="str">
        <f t="shared" si="18"/>
        <v/>
      </c>
      <c r="BF46" s="552" t="str">
        <f t="shared" si="30"/>
        <v/>
      </c>
    </row>
    <row r="47" spans="1:58" ht="109.95" customHeight="1" thickBot="1">
      <c r="A47" s="306">
        <v>34</v>
      </c>
      <c r="B47" s="646" t="str">
        <f>IF(基本情報入力シート!B69="","",基本情報入力シート!B69)</f>
        <v/>
      </c>
      <c r="C47" s="647"/>
      <c r="D47" s="647"/>
      <c r="E47" s="647"/>
      <c r="F47" s="648"/>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53" t="str">
        <f>IF(基本情報入力シート!AF69=0, "",基本情報入力シート!AF69)</f>
        <v/>
      </c>
      <c r="M47" s="581"/>
      <c r="N47" s="517" t="str">
        <f>IFERROR(VLOOKUP(K47,【参考】数式用!$A$2:$F$57,MATCH(M47,【参考】数式用!$C$3:$F$3,0)+2,0),"")</f>
        <v/>
      </c>
      <c r="O47" s="506"/>
      <c r="P47" s="549" t="str">
        <f>IFERROR(VLOOKUP(K47,【参考】数式用!$A$2:$F$57,MATCH(O47,【参考】数式用!$C$3:$F$3,0)+2,0),"")</f>
        <v/>
      </c>
      <c r="Q47" s="313" t="s">
        <v>113</v>
      </c>
      <c r="R47" s="311"/>
      <c r="S47" s="312" t="s">
        <v>178</v>
      </c>
      <c r="T47" s="311"/>
      <c r="U47" s="312" t="s">
        <v>179</v>
      </c>
      <c r="V47" s="311"/>
      <c r="W47" s="312" t="s">
        <v>178</v>
      </c>
      <c r="X47" s="311"/>
      <c r="Y47" s="312" t="s">
        <v>180</v>
      </c>
      <c r="Z47" s="312" t="s">
        <v>181</v>
      </c>
      <c r="AA47" s="312" t="str">
        <f t="shared" si="20"/>
        <v/>
      </c>
      <c r="AB47" s="308" t="s">
        <v>182</v>
      </c>
      <c r="AC47" s="309" t="str">
        <f t="shared" si="11"/>
        <v/>
      </c>
      <c r="AD47" s="510" t="str">
        <f t="shared" si="12"/>
        <v/>
      </c>
      <c r="AE47" s="310" t="str">
        <f>IFERROR(ROUNDDOWN(ROUNDDOWN(ROUND(L47*VLOOKUP(K47,【参考】数式用!$A$4:$F$57,MATCH("処遇改善加算Ⅳ",【参考】数式用!$C$3:$F$3,0)+2,0),0),0)*AA47*0.5,0), "")</f>
        <v/>
      </c>
      <c r="AF47" s="321"/>
      <c r="AG47" s="322"/>
      <c r="AH47" s="322"/>
      <c r="AI47" s="321"/>
      <c r="AJ47" s="323"/>
      <c r="AK47" s="329"/>
      <c r="AL47" s="327" t="str">
        <f t="shared" si="21"/>
        <v/>
      </c>
      <c r="AM47" s="328" t="str">
        <f t="shared" si="19"/>
        <v/>
      </c>
      <c r="AN47" s="258"/>
      <c r="AO47" s="551" t="str">
        <f>IFERROR(VLOOKUP(K47,【参考】数式用!$A$2:$N$57,14,FALSE),"")</f>
        <v/>
      </c>
      <c r="AP47" s="551" t="str">
        <f t="shared" si="22"/>
        <v/>
      </c>
      <c r="AQ47" s="556" t="str">
        <f t="shared" si="23"/>
        <v/>
      </c>
      <c r="AR47" s="534" t="str">
        <f t="shared" si="24"/>
        <v>入力済</v>
      </c>
      <c r="AS47" s="551" t="str">
        <f t="shared" si="13"/>
        <v/>
      </c>
      <c r="AT47" s="534" t="str">
        <f t="shared" si="25"/>
        <v>入力済</v>
      </c>
      <c r="AU47" s="534" t="str">
        <f t="shared" si="31"/>
        <v/>
      </c>
      <c r="AV47" s="534" t="str">
        <f t="shared" si="26"/>
        <v/>
      </c>
      <c r="AW47" s="551" t="str">
        <f t="shared" si="27"/>
        <v/>
      </c>
      <c r="AX47" s="551" t="str">
        <f t="shared" si="15"/>
        <v/>
      </c>
      <c r="AY47" s="534" t="str">
        <f>IFERROR(VLOOKUP(K47,【参考】数式用!$AR$5:$AS$39,2, FALSE), "")</f>
        <v/>
      </c>
      <c r="AZ47" s="551" t="str">
        <f t="shared" si="16"/>
        <v/>
      </c>
      <c r="BA47" s="555" t="str">
        <f t="shared" si="28"/>
        <v>入力済</v>
      </c>
      <c r="BB47" s="534" t="str">
        <f>IFERROR(VLOOKUP(K47,【参考】数式用!$AX$3:$AY$59, 2, FALSE), "")</f>
        <v/>
      </c>
      <c r="BC47" s="551" t="str">
        <f t="shared" si="17"/>
        <v/>
      </c>
      <c r="BD47" s="555" t="str">
        <f t="shared" si="29"/>
        <v>入力済</v>
      </c>
      <c r="BE47" s="552" t="str">
        <f t="shared" si="18"/>
        <v/>
      </c>
      <c r="BF47" s="552" t="str">
        <f t="shared" si="30"/>
        <v/>
      </c>
    </row>
    <row r="48" spans="1:58" ht="109.95" customHeight="1" thickBot="1">
      <c r="A48" s="306">
        <v>35</v>
      </c>
      <c r="B48" s="646" t="str">
        <f>IF(基本情報入力シート!B70="","",基本情報入力シート!B70)</f>
        <v/>
      </c>
      <c r="C48" s="647"/>
      <c r="D48" s="647"/>
      <c r="E48" s="647"/>
      <c r="F48" s="648"/>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53" t="str">
        <f>IF(基本情報入力シート!AF70=0, "",基本情報入力シート!AF70)</f>
        <v/>
      </c>
      <c r="M48" s="581"/>
      <c r="N48" s="517" t="str">
        <f>IFERROR(VLOOKUP(K48,【参考】数式用!$A$2:$F$57,MATCH(M48,【参考】数式用!$C$3:$F$3,0)+2,0),"")</f>
        <v/>
      </c>
      <c r="O48" s="506"/>
      <c r="P48" s="549" t="str">
        <f>IFERROR(VLOOKUP(K48,【参考】数式用!$A$2:$F$57,MATCH(O48,【参考】数式用!$C$3:$F$3,0)+2,0),"")</f>
        <v/>
      </c>
      <c r="Q48" s="313" t="s">
        <v>113</v>
      </c>
      <c r="R48" s="311"/>
      <c r="S48" s="312" t="s">
        <v>178</v>
      </c>
      <c r="T48" s="311"/>
      <c r="U48" s="312" t="s">
        <v>179</v>
      </c>
      <c r="V48" s="311"/>
      <c r="W48" s="312" t="s">
        <v>178</v>
      </c>
      <c r="X48" s="311"/>
      <c r="Y48" s="312" t="s">
        <v>180</v>
      </c>
      <c r="Z48" s="312" t="s">
        <v>181</v>
      </c>
      <c r="AA48" s="312" t="str">
        <f t="shared" si="20"/>
        <v/>
      </c>
      <c r="AB48" s="308" t="s">
        <v>182</v>
      </c>
      <c r="AC48" s="309" t="str">
        <f t="shared" si="11"/>
        <v/>
      </c>
      <c r="AD48" s="510" t="str">
        <f t="shared" si="12"/>
        <v/>
      </c>
      <c r="AE48" s="310" t="str">
        <f>IFERROR(ROUNDDOWN(ROUNDDOWN(ROUND(L48*VLOOKUP(K48,【参考】数式用!$A$4:$F$57,MATCH("処遇改善加算Ⅳ",【参考】数式用!$C$3:$F$3,0)+2,0),0),0)*AA48*0.5,0), "")</f>
        <v/>
      </c>
      <c r="AF48" s="321"/>
      <c r="AG48" s="322"/>
      <c r="AH48" s="322"/>
      <c r="AI48" s="321"/>
      <c r="AJ48" s="323"/>
      <c r="AK48" s="329"/>
      <c r="AL48" s="327" t="str">
        <f t="shared" si="21"/>
        <v/>
      </c>
      <c r="AM48" s="328" t="str">
        <f t="shared" si="19"/>
        <v/>
      </c>
      <c r="AN48" s="258"/>
      <c r="AO48" s="551" t="str">
        <f>IFERROR(VLOOKUP(K48,【参考】数式用!$A$2:$N$57,14,FALSE),"")</f>
        <v/>
      </c>
      <c r="AP48" s="551" t="str">
        <f t="shared" si="22"/>
        <v/>
      </c>
      <c r="AQ48" s="556" t="str">
        <f t="shared" si="23"/>
        <v/>
      </c>
      <c r="AR48" s="534" t="str">
        <f t="shared" si="24"/>
        <v>入力済</v>
      </c>
      <c r="AS48" s="551" t="str">
        <f t="shared" si="13"/>
        <v/>
      </c>
      <c r="AT48" s="534" t="str">
        <f t="shared" si="25"/>
        <v>入力済</v>
      </c>
      <c r="AU48" s="534" t="str">
        <f t="shared" si="31"/>
        <v/>
      </c>
      <c r="AV48" s="534" t="str">
        <f t="shared" si="26"/>
        <v/>
      </c>
      <c r="AW48" s="551" t="str">
        <f t="shared" si="27"/>
        <v/>
      </c>
      <c r="AX48" s="551" t="str">
        <f t="shared" si="15"/>
        <v/>
      </c>
      <c r="AY48" s="534" t="str">
        <f>IFERROR(VLOOKUP(K48,【参考】数式用!$AR$5:$AS$39,2, FALSE), "")</f>
        <v/>
      </c>
      <c r="AZ48" s="551" t="str">
        <f t="shared" si="16"/>
        <v/>
      </c>
      <c r="BA48" s="555" t="str">
        <f t="shared" si="28"/>
        <v>入力済</v>
      </c>
      <c r="BB48" s="534" t="str">
        <f>IFERROR(VLOOKUP(K48,【参考】数式用!$AX$3:$AY$59, 2, FALSE), "")</f>
        <v/>
      </c>
      <c r="BC48" s="551" t="str">
        <f t="shared" si="17"/>
        <v/>
      </c>
      <c r="BD48" s="555" t="str">
        <f t="shared" si="29"/>
        <v>入力済</v>
      </c>
      <c r="BE48" s="552" t="str">
        <f t="shared" si="18"/>
        <v/>
      </c>
      <c r="BF48" s="552" t="str">
        <f t="shared" si="30"/>
        <v/>
      </c>
    </row>
    <row r="49" spans="1:58" ht="109.95" customHeight="1" thickBot="1">
      <c r="A49" s="306">
        <v>36</v>
      </c>
      <c r="B49" s="646" t="str">
        <f>IF(基本情報入力シート!B71="","",基本情報入力シート!B71)</f>
        <v/>
      </c>
      <c r="C49" s="647"/>
      <c r="D49" s="647"/>
      <c r="E49" s="647"/>
      <c r="F49" s="648"/>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53" t="str">
        <f>IF(基本情報入力シート!AF71=0, "",基本情報入力シート!AF71)</f>
        <v/>
      </c>
      <c r="M49" s="581"/>
      <c r="N49" s="517" t="str">
        <f>IFERROR(VLOOKUP(K49,【参考】数式用!$A$2:$F$57,MATCH(M49,【参考】数式用!$C$3:$F$3,0)+2,0),"")</f>
        <v/>
      </c>
      <c r="O49" s="506"/>
      <c r="P49" s="549" t="str">
        <f>IFERROR(VLOOKUP(K49,【参考】数式用!$A$2:$F$57,MATCH(O49,【参考】数式用!$C$3:$F$3,0)+2,0),"")</f>
        <v/>
      </c>
      <c r="Q49" s="313" t="s">
        <v>113</v>
      </c>
      <c r="R49" s="311"/>
      <c r="S49" s="312" t="s">
        <v>178</v>
      </c>
      <c r="T49" s="311"/>
      <c r="U49" s="312" t="s">
        <v>179</v>
      </c>
      <c r="V49" s="311"/>
      <c r="W49" s="312" t="s">
        <v>178</v>
      </c>
      <c r="X49" s="311"/>
      <c r="Y49" s="312" t="s">
        <v>180</v>
      </c>
      <c r="Z49" s="312" t="s">
        <v>181</v>
      </c>
      <c r="AA49" s="312" t="str">
        <f t="shared" si="20"/>
        <v/>
      </c>
      <c r="AB49" s="308" t="s">
        <v>182</v>
      </c>
      <c r="AC49" s="309" t="str">
        <f t="shared" si="11"/>
        <v/>
      </c>
      <c r="AD49" s="510" t="str">
        <f t="shared" si="12"/>
        <v/>
      </c>
      <c r="AE49" s="310" t="str">
        <f>IFERROR(ROUNDDOWN(ROUNDDOWN(ROUND(L49*VLOOKUP(K49,【参考】数式用!$A$4:$F$57,MATCH("処遇改善加算Ⅳ",【参考】数式用!$C$3:$F$3,0)+2,0),0),0)*AA49*0.5,0), "")</f>
        <v/>
      </c>
      <c r="AF49" s="321"/>
      <c r="AG49" s="322"/>
      <c r="AH49" s="322"/>
      <c r="AI49" s="321"/>
      <c r="AJ49" s="323"/>
      <c r="AK49" s="329"/>
      <c r="AL49" s="327" t="str">
        <f t="shared" si="21"/>
        <v/>
      </c>
      <c r="AM49" s="328" t="str">
        <f t="shared" si="19"/>
        <v/>
      </c>
      <c r="AN49" s="258"/>
      <c r="AO49" s="551" t="str">
        <f>IFERROR(VLOOKUP(K49,【参考】数式用!$A$2:$N$57,14,FALSE),"")</f>
        <v/>
      </c>
      <c r="AP49" s="551" t="str">
        <f t="shared" si="22"/>
        <v/>
      </c>
      <c r="AQ49" s="556" t="str">
        <f t="shared" si="23"/>
        <v/>
      </c>
      <c r="AR49" s="534" t="str">
        <f t="shared" si="24"/>
        <v>入力済</v>
      </c>
      <c r="AS49" s="551" t="str">
        <f t="shared" si="13"/>
        <v/>
      </c>
      <c r="AT49" s="534" t="str">
        <f t="shared" si="25"/>
        <v>入力済</v>
      </c>
      <c r="AU49" s="534" t="str">
        <f t="shared" si="31"/>
        <v/>
      </c>
      <c r="AV49" s="534" t="str">
        <f t="shared" si="26"/>
        <v/>
      </c>
      <c r="AW49" s="551" t="str">
        <f t="shared" si="27"/>
        <v/>
      </c>
      <c r="AX49" s="551" t="str">
        <f t="shared" si="15"/>
        <v/>
      </c>
      <c r="AY49" s="534" t="str">
        <f>IFERROR(VLOOKUP(K49,【参考】数式用!$AR$5:$AS$39,2, FALSE), "")</f>
        <v/>
      </c>
      <c r="AZ49" s="551" t="str">
        <f t="shared" si="16"/>
        <v/>
      </c>
      <c r="BA49" s="555" t="str">
        <f t="shared" si="28"/>
        <v>入力済</v>
      </c>
      <c r="BB49" s="534" t="str">
        <f>IFERROR(VLOOKUP(K49,【参考】数式用!$AX$3:$AY$59, 2, FALSE), "")</f>
        <v/>
      </c>
      <c r="BC49" s="551" t="str">
        <f t="shared" si="17"/>
        <v/>
      </c>
      <c r="BD49" s="555" t="str">
        <f t="shared" si="29"/>
        <v>入力済</v>
      </c>
      <c r="BE49" s="552" t="str">
        <f t="shared" si="18"/>
        <v/>
      </c>
      <c r="BF49" s="552" t="str">
        <f t="shared" si="30"/>
        <v/>
      </c>
    </row>
    <row r="50" spans="1:58" ht="109.95" customHeight="1" thickBot="1">
      <c r="A50" s="306">
        <v>37</v>
      </c>
      <c r="B50" s="646" t="str">
        <f>IF(基本情報入力シート!B72="","",基本情報入力シート!B72)</f>
        <v/>
      </c>
      <c r="C50" s="647"/>
      <c r="D50" s="647"/>
      <c r="E50" s="647"/>
      <c r="F50" s="648"/>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53" t="str">
        <f>IF(基本情報入力シート!AF72=0, "",基本情報入力シート!AF72)</f>
        <v/>
      </c>
      <c r="M50" s="581"/>
      <c r="N50" s="517" t="str">
        <f>IFERROR(VLOOKUP(K50,【参考】数式用!$A$2:$F$57,MATCH(M50,【参考】数式用!$C$3:$F$3,0)+2,0),"")</f>
        <v/>
      </c>
      <c r="O50" s="506"/>
      <c r="P50" s="549" t="str">
        <f>IFERROR(VLOOKUP(K50,【参考】数式用!$A$2:$F$57,MATCH(O50,【参考】数式用!$C$3:$F$3,0)+2,0),"")</f>
        <v/>
      </c>
      <c r="Q50" s="313" t="s">
        <v>113</v>
      </c>
      <c r="R50" s="311"/>
      <c r="S50" s="312" t="s">
        <v>178</v>
      </c>
      <c r="T50" s="311"/>
      <c r="U50" s="312" t="s">
        <v>179</v>
      </c>
      <c r="V50" s="311"/>
      <c r="W50" s="312" t="s">
        <v>178</v>
      </c>
      <c r="X50" s="311"/>
      <c r="Y50" s="312" t="s">
        <v>180</v>
      </c>
      <c r="Z50" s="312" t="s">
        <v>181</v>
      </c>
      <c r="AA50" s="312" t="str">
        <f t="shared" si="20"/>
        <v/>
      </c>
      <c r="AB50" s="308" t="s">
        <v>182</v>
      </c>
      <c r="AC50" s="309" t="str">
        <f t="shared" si="11"/>
        <v/>
      </c>
      <c r="AD50" s="510" t="str">
        <f t="shared" si="12"/>
        <v/>
      </c>
      <c r="AE50" s="310" t="str">
        <f>IFERROR(ROUNDDOWN(ROUNDDOWN(ROUND(L50*VLOOKUP(K50,【参考】数式用!$A$4:$F$57,MATCH("処遇改善加算Ⅳ",【参考】数式用!$C$3:$F$3,0)+2,0),0),0)*AA50*0.5,0), "")</f>
        <v/>
      </c>
      <c r="AF50" s="321"/>
      <c r="AG50" s="322"/>
      <c r="AH50" s="322"/>
      <c r="AI50" s="321"/>
      <c r="AJ50" s="323"/>
      <c r="AK50" s="329"/>
      <c r="AL50" s="327" t="str">
        <f t="shared" si="21"/>
        <v/>
      </c>
      <c r="AM50" s="328" t="str">
        <f t="shared" si="19"/>
        <v/>
      </c>
      <c r="AN50" s="258"/>
      <c r="AO50" s="551" t="str">
        <f>IFERROR(VLOOKUP(K50,【参考】数式用!$A$2:$N$57,14,FALSE),"")</f>
        <v/>
      </c>
      <c r="AP50" s="551" t="str">
        <f t="shared" si="22"/>
        <v/>
      </c>
      <c r="AQ50" s="556" t="str">
        <f t="shared" si="23"/>
        <v/>
      </c>
      <c r="AR50" s="534" t="str">
        <f t="shared" si="24"/>
        <v>入力済</v>
      </c>
      <c r="AS50" s="551" t="str">
        <f t="shared" si="13"/>
        <v/>
      </c>
      <c r="AT50" s="534" t="str">
        <f t="shared" si="25"/>
        <v>入力済</v>
      </c>
      <c r="AU50" s="534" t="str">
        <f t="shared" si="31"/>
        <v/>
      </c>
      <c r="AV50" s="534" t="str">
        <f t="shared" si="26"/>
        <v/>
      </c>
      <c r="AW50" s="551" t="str">
        <f t="shared" si="27"/>
        <v/>
      </c>
      <c r="AX50" s="551" t="str">
        <f t="shared" si="15"/>
        <v/>
      </c>
      <c r="AY50" s="534" t="str">
        <f>IFERROR(VLOOKUP(K50,【参考】数式用!$AR$5:$AS$39,2, FALSE), "")</f>
        <v/>
      </c>
      <c r="AZ50" s="551" t="str">
        <f t="shared" si="16"/>
        <v/>
      </c>
      <c r="BA50" s="555" t="str">
        <f t="shared" si="28"/>
        <v>入力済</v>
      </c>
      <c r="BB50" s="534" t="str">
        <f>IFERROR(VLOOKUP(K50,【参考】数式用!$AX$3:$AY$59, 2, FALSE), "")</f>
        <v/>
      </c>
      <c r="BC50" s="551" t="str">
        <f t="shared" si="17"/>
        <v/>
      </c>
      <c r="BD50" s="555" t="str">
        <f t="shared" si="29"/>
        <v>入力済</v>
      </c>
      <c r="BE50" s="552" t="str">
        <f t="shared" si="18"/>
        <v/>
      </c>
      <c r="BF50" s="552" t="str">
        <f t="shared" si="30"/>
        <v/>
      </c>
    </row>
    <row r="51" spans="1:58" ht="109.95" customHeight="1" thickBot="1">
      <c r="A51" s="306">
        <v>38</v>
      </c>
      <c r="B51" s="646" t="str">
        <f>IF(基本情報入力シート!B73="","",基本情報入力シート!B73)</f>
        <v/>
      </c>
      <c r="C51" s="647"/>
      <c r="D51" s="647"/>
      <c r="E51" s="647"/>
      <c r="F51" s="648"/>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53" t="str">
        <f>IF(基本情報入力シート!AF73=0, "",基本情報入力シート!AF73)</f>
        <v/>
      </c>
      <c r="M51" s="581"/>
      <c r="N51" s="517" t="str">
        <f>IFERROR(VLOOKUP(K51,【参考】数式用!$A$2:$F$57,MATCH(M51,【参考】数式用!$C$3:$F$3,0)+2,0),"")</f>
        <v/>
      </c>
      <c r="O51" s="506"/>
      <c r="P51" s="549" t="str">
        <f>IFERROR(VLOOKUP(K51,【参考】数式用!$A$2:$F$57,MATCH(O51,【参考】数式用!$C$3:$F$3,0)+2,0),"")</f>
        <v/>
      </c>
      <c r="Q51" s="313" t="s">
        <v>113</v>
      </c>
      <c r="R51" s="311"/>
      <c r="S51" s="312" t="s">
        <v>178</v>
      </c>
      <c r="T51" s="311"/>
      <c r="U51" s="312" t="s">
        <v>179</v>
      </c>
      <c r="V51" s="311"/>
      <c r="W51" s="312" t="s">
        <v>178</v>
      </c>
      <c r="X51" s="311"/>
      <c r="Y51" s="312" t="s">
        <v>180</v>
      </c>
      <c r="Z51" s="312" t="s">
        <v>181</v>
      </c>
      <c r="AA51" s="312" t="str">
        <f t="shared" si="20"/>
        <v/>
      </c>
      <c r="AB51" s="308" t="s">
        <v>182</v>
      </c>
      <c r="AC51" s="309" t="str">
        <f t="shared" si="11"/>
        <v/>
      </c>
      <c r="AD51" s="510" t="str">
        <f t="shared" si="12"/>
        <v/>
      </c>
      <c r="AE51" s="310" t="str">
        <f>IFERROR(ROUNDDOWN(ROUNDDOWN(ROUND(L51*VLOOKUP(K51,【参考】数式用!$A$4:$F$57,MATCH("処遇改善加算Ⅳ",【参考】数式用!$C$3:$F$3,0)+2,0),0),0)*AA51*0.5,0), "")</f>
        <v/>
      </c>
      <c r="AF51" s="321"/>
      <c r="AG51" s="322"/>
      <c r="AH51" s="322"/>
      <c r="AI51" s="321"/>
      <c r="AJ51" s="323"/>
      <c r="AK51" s="329"/>
      <c r="AL51" s="327" t="str">
        <f t="shared" si="21"/>
        <v/>
      </c>
      <c r="AM51" s="328" t="str">
        <f t="shared" si="19"/>
        <v/>
      </c>
      <c r="AN51" s="258"/>
      <c r="AO51" s="551" t="str">
        <f>IFERROR(VLOOKUP(K51,【参考】数式用!$A$2:$N$57,14,FALSE),"")</f>
        <v/>
      </c>
      <c r="AP51" s="551" t="str">
        <f t="shared" si="22"/>
        <v/>
      </c>
      <c r="AQ51" s="556" t="str">
        <f t="shared" si="23"/>
        <v/>
      </c>
      <c r="AR51" s="534" t="str">
        <f t="shared" si="24"/>
        <v>入力済</v>
      </c>
      <c r="AS51" s="551" t="str">
        <f t="shared" si="13"/>
        <v/>
      </c>
      <c r="AT51" s="534" t="str">
        <f t="shared" si="25"/>
        <v>入力済</v>
      </c>
      <c r="AU51" s="534" t="str">
        <f t="shared" si="31"/>
        <v/>
      </c>
      <c r="AV51" s="534" t="str">
        <f t="shared" si="26"/>
        <v/>
      </c>
      <c r="AW51" s="551" t="str">
        <f t="shared" si="27"/>
        <v/>
      </c>
      <c r="AX51" s="551" t="str">
        <f t="shared" si="15"/>
        <v/>
      </c>
      <c r="AY51" s="534" t="str">
        <f>IFERROR(VLOOKUP(K51,【参考】数式用!$AR$5:$AS$39,2, FALSE), "")</f>
        <v/>
      </c>
      <c r="AZ51" s="551" t="str">
        <f t="shared" si="16"/>
        <v/>
      </c>
      <c r="BA51" s="555" t="str">
        <f t="shared" si="28"/>
        <v>入力済</v>
      </c>
      <c r="BB51" s="534" t="str">
        <f>IFERROR(VLOOKUP(K51,【参考】数式用!$AX$3:$AY$59, 2, FALSE), "")</f>
        <v/>
      </c>
      <c r="BC51" s="551" t="str">
        <f t="shared" si="17"/>
        <v/>
      </c>
      <c r="BD51" s="555" t="str">
        <f t="shared" si="29"/>
        <v>入力済</v>
      </c>
      <c r="BE51" s="552" t="str">
        <f t="shared" si="18"/>
        <v/>
      </c>
      <c r="BF51" s="552" t="str">
        <f t="shared" si="30"/>
        <v/>
      </c>
    </row>
    <row r="52" spans="1:58" ht="109.95" customHeight="1" thickBot="1">
      <c r="A52" s="306">
        <v>39</v>
      </c>
      <c r="B52" s="646" t="str">
        <f>IF(基本情報入力シート!B74="","",基本情報入力シート!B74)</f>
        <v/>
      </c>
      <c r="C52" s="647"/>
      <c r="D52" s="647"/>
      <c r="E52" s="647"/>
      <c r="F52" s="648"/>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53" t="str">
        <f>IF(基本情報入力シート!AF74=0, "",基本情報入力シート!AF74)</f>
        <v/>
      </c>
      <c r="M52" s="581"/>
      <c r="N52" s="517" t="str">
        <f>IFERROR(VLOOKUP(K52,【参考】数式用!$A$2:$F$57,MATCH(M52,【参考】数式用!$C$3:$F$3,0)+2,0),"")</f>
        <v/>
      </c>
      <c r="O52" s="506"/>
      <c r="P52" s="549" t="str">
        <f>IFERROR(VLOOKUP(K52,【参考】数式用!$A$2:$F$57,MATCH(O52,【参考】数式用!$C$3:$F$3,0)+2,0),"")</f>
        <v/>
      </c>
      <c r="Q52" s="313" t="s">
        <v>113</v>
      </c>
      <c r="R52" s="311"/>
      <c r="S52" s="312" t="s">
        <v>178</v>
      </c>
      <c r="T52" s="311"/>
      <c r="U52" s="312" t="s">
        <v>179</v>
      </c>
      <c r="V52" s="311"/>
      <c r="W52" s="312" t="s">
        <v>178</v>
      </c>
      <c r="X52" s="311"/>
      <c r="Y52" s="312" t="s">
        <v>180</v>
      </c>
      <c r="Z52" s="312" t="s">
        <v>181</v>
      </c>
      <c r="AA52" s="312" t="str">
        <f t="shared" si="20"/>
        <v/>
      </c>
      <c r="AB52" s="308" t="s">
        <v>182</v>
      </c>
      <c r="AC52" s="309" t="str">
        <f t="shared" si="11"/>
        <v/>
      </c>
      <c r="AD52" s="510" t="str">
        <f t="shared" si="12"/>
        <v/>
      </c>
      <c r="AE52" s="310" t="str">
        <f>IFERROR(ROUNDDOWN(ROUNDDOWN(ROUND(L52*VLOOKUP(K52,【参考】数式用!$A$4:$F$57,MATCH("処遇改善加算Ⅳ",【参考】数式用!$C$3:$F$3,0)+2,0),0),0)*AA52*0.5,0), "")</f>
        <v/>
      </c>
      <c r="AF52" s="321"/>
      <c r="AG52" s="322"/>
      <c r="AH52" s="322"/>
      <c r="AI52" s="321"/>
      <c r="AJ52" s="323"/>
      <c r="AK52" s="329"/>
      <c r="AL52" s="327" t="str">
        <f t="shared" si="21"/>
        <v/>
      </c>
      <c r="AM52" s="328" t="str">
        <f t="shared" si="19"/>
        <v/>
      </c>
      <c r="AN52" s="258"/>
      <c r="AO52" s="551" t="str">
        <f>IFERROR(VLOOKUP(K52,【参考】数式用!$A$2:$N$57,14,FALSE),"")</f>
        <v/>
      </c>
      <c r="AP52" s="551" t="str">
        <f t="shared" si="22"/>
        <v/>
      </c>
      <c r="AQ52" s="556" t="str">
        <f t="shared" si="23"/>
        <v/>
      </c>
      <c r="AR52" s="534" t="str">
        <f t="shared" si="24"/>
        <v>入力済</v>
      </c>
      <c r="AS52" s="551" t="str">
        <f t="shared" si="13"/>
        <v/>
      </c>
      <c r="AT52" s="534" t="str">
        <f t="shared" si="25"/>
        <v>入力済</v>
      </c>
      <c r="AU52" s="534" t="str">
        <f t="shared" si="31"/>
        <v/>
      </c>
      <c r="AV52" s="534" t="str">
        <f t="shared" si="26"/>
        <v/>
      </c>
      <c r="AW52" s="551" t="str">
        <f t="shared" si="27"/>
        <v/>
      </c>
      <c r="AX52" s="551" t="str">
        <f t="shared" si="15"/>
        <v/>
      </c>
      <c r="AY52" s="534" t="str">
        <f>IFERROR(VLOOKUP(K52,【参考】数式用!$AR$5:$AS$39,2, FALSE), "")</f>
        <v/>
      </c>
      <c r="AZ52" s="551" t="str">
        <f t="shared" si="16"/>
        <v/>
      </c>
      <c r="BA52" s="555" t="str">
        <f t="shared" si="28"/>
        <v>入力済</v>
      </c>
      <c r="BB52" s="534" t="str">
        <f>IFERROR(VLOOKUP(K52,【参考】数式用!$AX$3:$AY$59, 2, FALSE), "")</f>
        <v/>
      </c>
      <c r="BC52" s="551" t="str">
        <f t="shared" si="17"/>
        <v/>
      </c>
      <c r="BD52" s="555" t="str">
        <f t="shared" si="29"/>
        <v>入力済</v>
      </c>
      <c r="BE52" s="552" t="str">
        <f t="shared" si="18"/>
        <v/>
      </c>
      <c r="BF52" s="552" t="str">
        <f t="shared" si="30"/>
        <v/>
      </c>
    </row>
    <row r="53" spans="1:58" ht="109.95" customHeight="1" thickBot="1">
      <c r="A53" s="306">
        <v>40</v>
      </c>
      <c r="B53" s="646" t="str">
        <f>IF(基本情報入力シート!B75="","",基本情報入力シート!B75)</f>
        <v/>
      </c>
      <c r="C53" s="647"/>
      <c r="D53" s="647"/>
      <c r="E53" s="647"/>
      <c r="F53" s="648"/>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53" t="str">
        <f>IF(基本情報入力シート!AF75=0, "",基本情報入力シート!AF75)</f>
        <v/>
      </c>
      <c r="M53" s="581"/>
      <c r="N53" s="517" t="str">
        <f>IFERROR(VLOOKUP(K53,【参考】数式用!$A$2:$F$57,MATCH(M53,【参考】数式用!$C$3:$F$3,0)+2,0),"")</f>
        <v/>
      </c>
      <c r="O53" s="506"/>
      <c r="P53" s="549" t="str">
        <f>IFERROR(VLOOKUP(K53,【参考】数式用!$A$2:$F$57,MATCH(O53,【参考】数式用!$C$3:$F$3,0)+2,0),"")</f>
        <v/>
      </c>
      <c r="Q53" s="313" t="s">
        <v>113</v>
      </c>
      <c r="R53" s="311"/>
      <c r="S53" s="312" t="s">
        <v>178</v>
      </c>
      <c r="T53" s="311"/>
      <c r="U53" s="312" t="s">
        <v>179</v>
      </c>
      <c r="V53" s="311"/>
      <c r="W53" s="312" t="s">
        <v>178</v>
      </c>
      <c r="X53" s="311"/>
      <c r="Y53" s="312" t="s">
        <v>180</v>
      </c>
      <c r="Z53" s="312" t="s">
        <v>181</v>
      </c>
      <c r="AA53" s="312" t="str">
        <f t="shared" si="20"/>
        <v/>
      </c>
      <c r="AB53" s="308" t="s">
        <v>182</v>
      </c>
      <c r="AC53" s="309" t="str">
        <f t="shared" si="11"/>
        <v/>
      </c>
      <c r="AD53" s="510" t="str">
        <f t="shared" si="12"/>
        <v/>
      </c>
      <c r="AE53" s="310" t="str">
        <f>IFERROR(ROUNDDOWN(ROUNDDOWN(ROUND(L53*VLOOKUP(K53,【参考】数式用!$A$4:$F$57,MATCH("処遇改善加算Ⅳ",【参考】数式用!$C$3:$F$3,0)+2,0),0),0)*AA53*0.5,0), "")</f>
        <v/>
      </c>
      <c r="AF53" s="321"/>
      <c r="AG53" s="322"/>
      <c r="AH53" s="322"/>
      <c r="AI53" s="321"/>
      <c r="AJ53" s="323"/>
      <c r="AK53" s="329"/>
      <c r="AL53" s="327" t="str">
        <f t="shared" si="21"/>
        <v/>
      </c>
      <c r="AM53" s="328" t="str">
        <f t="shared" si="19"/>
        <v/>
      </c>
      <c r="AN53" s="258"/>
      <c r="AO53" s="551" t="str">
        <f>IFERROR(VLOOKUP(K53,【参考】数式用!$A$2:$N$57,14,FALSE),"")</f>
        <v/>
      </c>
      <c r="AP53" s="551" t="str">
        <f t="shared" si="22"/>
        <v/>
      </c>
      <c r="AQ53" s="556" t="str">
        <f t="shared" si="23"/>
        <v/>
      </c>
      <c r="AR53" s="534" t="str">
        <f t="shared" si="24"/>
        <v>入力済</v>
      </c>
      <c r="AS53" s="551" t="str">
        <f t="shared" si="13"/>
        <v/>
      </c>
      <c r="AT53" s="534" t="str">
        <f t="shared" si="25"/>
        <v>入力済</v>
      </c>
      <c r="AU53" s="534" t="str">
        <f t="shared" si="31"/>
        <v/>
      </c>
      <c r="AV53" s="534" t="str">
        <f t="shared" si="26"/>
        <v/>
      </c>
      <c r="AW53" s="551" t="str">
        <f t="shared" si="27"/>
        <v/>
      </c>
      <c r="AX53" s="551" t="str">
        <f t="shared" si="15"/>
        <v/>
      </c>
      <c r="AY53" s="534" t="str">
        <f>IFERROR(VLOOKUP(K53,【参考】数式用!$AR$5:$AS$39,2, FALSE), "")</f>
        <v/>
      </c>
      <c r="AZ53" s="551" t="str">
        <f t="shared" si="16"/>
        <v/>
      </c>
      <c r="BA53" s="555" t="str">
        <f t="shared" si="28"/>
        <v>入力済</v>
      </c>
      <c r="BB53" s="534" t="str">
        <f>IFERROR(VLOOKUP(K53,【参考】数式用!$AX$3:$AY$59, 2, FALSE), "")</f>
        <v/>
      </c>
      <c r="BC53" s="551" t="str">
        <f t="shared" si="17"/>
        <v/>
      </c>
      <c r="BD53" s="555" t="str">
        <f t="shared" si="29"/>
        <v>入力済</v>
      </c>
      <c r="BE53" s="552" t="str">
        <f t="shared" si="18"/>
        <v/>
      </c>
      <c r="BF53" s="552" t="str">
        <f t="shared" si="30"/>
        <v/>
      </c>
    </row>
    <row r="54" spans="1:58" ht="109.95" customHeight="1" thickBot="1">
      <c r="A54" s="306">
        <v>41</v>
      </c>
      <c r="B54" s="646" t="str">
        <f>IF(基本情報入力シート!B76="","",基本情報入力シート!B76)</f>
        <v/>
      </c>
      <c r="C54" s="647"/>
      <c r="D54" s="647"/>
      <c r="E54" s="647"/>
      <c r="F54" s="648"/>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53" t="str">
        <f>IF(基本情報入力シート!AF76=0, "",基本情報入力シート!AF76)</f>
        <v/>
      </c>
      <c r="M54" s="581"/>
      <c r="N54" s="517" t="str">
        <f>IFERROR(VLOOKUP(K54,【参考】数式用!$A$2:$F$57,MATCH(M54,【参考】数式用!$C$3:$F$3,0)+2,0),"")</f>
        <v/>
      </c>
      <c r="O54" s="506"/>
      <c r="P54" s="549" t="str">
        <f>IFERROR(VLOOKUP(K54,【参考】数式用!$A$2:$F$57,MATCH(O54,【参考】数式用!$C$3:$F$3,0)+2,0),"")</f>
        <v/>
      </c>
      <c r="Q54" s="313" t="s">
        <v>113</v>
      </c>
      <c r="R54" s="311"/>
      <c r="S54" s="312" t="s">
        <v>178</v>
      </c>
      <c r="T54" s="311"/>
      <c r="U54" s="312" t="s">
        <v>179</v>
      </c>
      <c r="V54" s="311"/>
      <c r="W54" s="312" t="s">
        <v>178</v>
      </c>
      <c r="X54" s="311"/>
      <c r="Y54" s="312" t="s">
        <v>180</v>
      </c>
      <c r="Z54" s="312" t="s">
        <v>181</v>
      </c>
      <c r="AA54" s="312" t="str">
        <f t="shared" si="20"/>
        <v/>
      </c>
      <c r="AB54" s="308" t="s">
        <v>182</v>
      </c>
      <c r="AC54" s="309" t="str">
        <f t="shared" si="11"/>
        <v/>
      </c>
      <c r="AD54" s="510" t="str">
        <f t="shared" si="12"/>
        <v/>
      </c>
      <c r="AE54" s="310" t="str">
        <f>IFERROR(ROUNDDOWN(ROUNDDOWN(ROUND(L54*VLOOKUP(K54,【参考】数式用!$A$4:$F$57,MATCH("処遇改善加算Ⅳ",【参考】数式用!$C$3:$F$3,0)+2,0),0),0)*AA54*0.5,0), "")</f>
        <v/>
      </c>
      <c r="AF54" s="321"/>
      <c r="AG54" s="322"/>
      <c r="AH54" s="322"/>
      <c r="AI54" s="321"/>
      <c r="AJ54" s="323"/>
      <c r="AK54" s="329"/>
      <c r="AL54" s="327" t="str">
        <f t="shared" si="21"/>
        <v/>
      </c>
      <c r="AM54" s="328" t="str">
        <f t="shared" si="19"/>
        <v/>
      </c>
      <c r="AN54" s="258"/>
      <c r="AO54" s="551" t="str">
        <f>IFERROR(VLOOKUP(K54,【参考】数式用!$A$2:$N$57,14,FALSE),"")</f>
        <v/>
      </c>
      <c r="AP54" s="551" t="str">
        <f t="shared" si="22"/>
        <v/>
      </c>
      <c r="AQ54" s="556" t="str">
        <f t="shared" si="23"/>
        <v/>
      </c>
      <c r="AR54" s="534" t="str">
        <f t="shared" si="24"/>
        <v>入力済</v>
      </c>
      <c r="AS54" s="551" t="str">
        <f t="shared" si="13"/>
        <v/>
      </c>
      <c r="AT54" s="534" t="str">
        <f t="shared" si="25"/>
        <v>入力済</v>
      </c>
      <c r="AU54" s="534" t="str">
        <f t="shared" si="31"/>
        <v/>
      </c>
      <c r="AV54" s="534" t="str">
        <f t="shared" si="26"/>
        <v/>
      </c>
      <c r="AW54" s="551" t="str">
        <f t="shared" si="27"/>
        <v/>
      </c>
      <c r="AX54" s="551" t="str">
        <f t="shared" si="15"/>
        <v/>
      </c>
      <c r="AY54" s="534" t="str">
        <f>IFERROR(VLOOKUP(K54,【参考】数式用!$AR$5:$AS$39,2, FALSE), "")</f>
        <v/>
      </c>
      <c r="AZ54" s="551" t="str">
        <f t="shared" si="16"/>
        <v/>
      </c>
      <c r="BA54" s="555" t="str">
        <f t="shared" si="28"/>
        <v>入力済</v>
      </c>
      <c r="BB54" s="534" t="str">
        <f>IFERROR(VLOOKUP(K54,【参考】数式用!$AX$3:$AY$59, 2, FALSE), "")</f>
        <v/>
      </c>
      <c r="BC54" s="551" t="str">
        <f t="shared" si="17"/>
        <v/>
      </c>
      <c r="BD54" s="555" t="str">
        <f t="shared" si="29"/>
        <v>入力済</v>
      </c>
      <c r="BE54" s="552" t="str">
        <f t="shared" si="18"/>
        <v/>
      </c>
      <c r="BF54" s="552" t="str">
        <f t="shared" si="30"/>
        <v/>
      </c>
    </row>
    <row r="55" spans="1:58" ht="109.95" customHeight="1" thickBot="1">
      <c r="A55" s="306">
        <v>42</v>
      </c>
      <c r="B55" s="646" t="str">
        <f>IF(基本情報入力シート!B77="","",基本情報入力シート!B77)</f>
        <v/>
      </c>
      <c r="C55" s="647"/>
      <c r="D55" s="647"/>
      <c r="E55" s="647"/>
      <c r="F55" s="648"/>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53" t="str">
        <f>IF(基本情報入力シート!AF77=0, "",基本情報入力シート!AF77)</f>
        <v/>
      </c>
      <c r="M55" s="581"/>
      <c r="N55" s="517" t="str">
        <f>IFERROR(VLOOKUP(K55,【参考】数式用!$A$2:$F$57,MATCH(M55,【参考】数式用!$C$3:$F$3,0)+2,0),"")</f>
        <v/>
      </c>
      <c r="O55" s="506"/>
      <c r="P55" s="549" t="str">
        <f>IFERROR(VLOOKUP(K55,【参考】数式用!$A$2:$F$57,MATCH(O55,【参考】数式用!$C$3:$F$3,0)+2,0),"")</f>
        <v/>
      </c>
      <c r="Q55" s="313" t="s">
        <v>113</v>
      </c>
      <c r="R55" s="311"/>
      <c r="S55" s="312" t="s">
        <v>178</v>
      </c>
      <c r="T55" s="311"/>
      <c r="U55" s="312" t="s">
        <v>179</v>
      </c>
      <c r="V55" s="311"/>
      <c r="W55" s="312" t="s">
        <v>178</v>
      </c>
      <c r="X55" s="311"/>
      <c r="Y55" s="312" t="s">
        <v>180</v>
      </c>
      <c r="Z55" s="312" t="s">
        <v>181</v>
      </c>
      <c r="AA55" s="312" t="str">
        <f t="shared" si="20"/>
        <v/>
      </c>
      <c r="AB55" s="308" t="s">
        <v>182</v>
      </c>
      <c r="AC55" s="309" t="str">
        <f t="shared" si="11"/>
        <v/>
      </c>
      <c r="AD55" s="510" t="str">
        <f t="shared" si="12"/>
        <v/>
      </c>
      <c r="AE55" s="310" t="str">
        <f>IFERROR(ROUNDDOWN(ROUNDDOWN(ROUND(L55*VLOOKUP(K55,【参考】数式用!$A$4:$F$57,MATCH("処遇改善加算Ⅳ",【参考】数式用!$C$3:$F$3,0)+2,0),0),0)*AA55*0.5,0), "")</f>
        <v/>
      </c>
      <c r="AF55" s="321"/>
      <c r="AG55" s="322"/>
      <c r="AH55" s="322"/>
      <c r="AI55" s="321"/>
      <c r="AJ55" s="323"/>
      <c r="AK55" s="329"/>
      <c r="AL55" s="327" t="str">
        <f t="shared" si="21"/>
        <v/>
      </c>
      <c r="AM55" s="328" t="str">
        <f t="shared" si="19"/>
        <v/>
      </c>
      <c r="AN55" s="258"/>
      <c r="AO55" s="551" t="str">
        <f>IFERROR(VLOOKUP(K55,【参考】数式用!$A$2:$N$57,14,FALSE),"")</f>
        <v/>
      </c>
      <c r="AP55" s="551" t="str">
        <f t="shared" si="22"/>
        <v/>
      </c>
      <c r="AQ55" s="556" t="str">
        <f t="shared" si="23"/>
        <v/>
      </c>
      <c r="AR55" s="534" t="str">
        <f t="shared" si="24"/>
        <v>入力済</v>
      </c>
      <c r="AS55" s="551" t="str">
        <f t="shared" si="13"/>
        <v/>
      </c>
      <c r="AT55" s="534" t="str">
        <f t="shared" si="25"/>
        <v>入力済</v>
      </c>
      <c r="AU55" s="534" t="str">
        <f t="shared" si="31"/>
        <v/>
      </c>
      <c r="AV55" s="534" t="str">
        <f t="shared" si="26"/>
        <v/>
      </c>
      <c r="AW55" s="551" t="str">
        <f t="shared" si="27"/>
        <v/>
      </c>
      <c r="AX55" s="551" t="str">
        <f t="shared" si="15"/>
        <v/>
      </c>
      <c r="AY55" s="534" t="str">
        <f>IFERROR(VLOOKUP(K55,【参考】数式用!$AR$5:$AS$39,2, FALSE), "")</f>
        <v/>
      </c>
      <c r="AZ55" s="551" t="str">
        <f t="shared" si="16"/>
        <v/>
      </c>
      <c r="BA55" s="555" t="str">
        <f t="shared" si="28"/>
        <v>入力済</v>
      </c>
      <c r="BB55" s="534" t="str">
        <f>IFERROR(VLOOKUP(K55,【参考】数式用!$AX$3:$AY$59, 2, FALSE), "")</f>
        <v/>
      </c>
      <c r="BC55" s="551" t="str">
        <f t="shared" si="17"/>
        <v/>
      </c>
      <c r="BD55" s="555" t="str">
        <f t="shared" si="29"/>
        <v>入力済</v>
      </c>
      <c r="BE55" s="552" t="str">
        <f t="shared" si="18"/>
        <v/>
      </c>
      <c r="BF55" s="552" t="str">
        <f t="shared" si="30"/>
        <v/>
      </c>
    </row>
    <row r="56" spans="1:58" ht="109.95" customHeight="1" thickBot="1">
      <c r="A56" s="306">
        <v>43</v>
      </c>
      <c r="B56" s="646" t="str">
        <f>IF(基本情報入力シート!B78="","",基本情報入力シート!B78)</f>
        <v/>
      </c>
      <c r="C56" s="647"/>
      <c r="D56" s="647"/>
      <c r="E56" s="647"/>
      <c r="F56" s="648"/>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53" t="str">
        <f>IF(基本情報入力シート!AF78=0, "",基本情報入力シート!AF78)</f>
        <v/>
      </c>
      <c r="M56" s="581"/>
      <c r="N56" s="517" t="str">
        <f>IFERROR(VLOOKUP(K56,【参考】数式用!$A$2:$F$57,MATCH(M56,【参考】数式用!$C$3:$F$3,0)+2,0),"")</f>
        <v/>
      </c>
      <c r="O56" s="506"/>
      <c r="P56" s="549" t="str">
        <f>IFERROR(VLOOKUP(K56,【参考】数式用!$A$2:$F$57,MATCH(O56,【参考】数式用!$C$3:$F$3,0)+2,0),"")</f>
        <v/>
      </c>
      <c r="Q56" s="313" t="s">
        <v>113</v>
      </c>
      <c r="R56" s="311"/>
      <c r="S56" s="312" t="s">
        <v>178</v>
      </c>
      <c r="T56" s="311"/>
      <c r="U56" s="312" t="s">
        <v>179</v>
      </c>
      <c r="V56" s="311"/>
      <c r="W56" s="312" t="s">
        <v>178</v>
      </c>
      <c r="X56" s="311"/>
      <c r="Y56" s="312" t="s">
        <v>180</v>
      </c>
      <c r="Z56" s="312" t="s">
        <v>181</v>
      </c>
      <c r="AA56" s="312" t="str">
        <f t="shared" si="20"/>
        <v/>
      </c>
      <c r="AB56" s="308" t="s">
        <v>182</v>
      </c>
      <c r="AC56" s="309" t="str">
        <f t="shared" si="11"/>
        <v/>
      </c>
      <c r="AD56" s="510" t="str">
        <f t="shared" si="12"/>
        <v/>
      </c>
      <c r="AE56" s="310" t="str">
        <f>IFERROR(ROUNDDOWN(ROUNDDOWN(ROUND(L56*VLOOKUP(K56,【参考】数式用!$A$4:$F$57,MATCH("処遇改善加算Ⅳ",【参考】数式用!$C$3:$F$3,0)+2,0),0),0)*AA56*0.5,0), "")</f>
        <v/>
      </c>
      <c r="AF56" s="321"/>
      <c r="AG56" s="322"/>
      <c r="AH56" s="322"/>
      <c r="AI56" s="321"/>
      <c r="AJ56" s="323"/>
      <c r="AK56" s="329"/>
      <c r="AL56" s="327" t="str">
        <f t="shared" si="21"/>
        <v/>
      </c>
      <c r="AM56" s="328" t="str">
        <f t="shared" si="19"/>
        <v/>
      </c>
      <c r="AN56" s="258"/>
      <c r="AO56" s="551" t="str">
        <f>IFERROR(VLOOKUP(K56,【参考】数式用!$A$2:$N$57,14,FALSE),"")</f>
        <v/>
      </c>
      <c r="AP56" s="551" t="str">
        <f t="shared" si="22"/>
        <v/>
      </c>
      <c r="AQ56" s="556" t="str">
        <f t="shared" si="23"/>
        <v/>
      </c>
      <c r="AR56" s="534" t="str">
        <f t="shared" si="24"/>
        <v>入力済</v>
      </c>
      <c r="AS56" s="551" t="str">
        <f t="shared" si="13"/>
        <v/>
      </c>
      <c r="AT56" s="534" t="str">
        <f t="shared" si="25"/>
        <v>入力済</v>
      </c>
      <c r="AU56" s="534" t="str">
        <f t="shared" si="31"/>
        <v/>
      </c>
      <c r="AV56" s="534" t="str">
        <f t="shared" si="26"/>
        <v/>
      </c>
      <c r="AW56" s="551" t="str">
        <f t="shared" si="27"/>
        <v/>
      </c>
      <c r="AX56" s="551" t="str">
        <f t="shared" si="15"/>
        <v/>
      </c>
      <c r="AY56" s="534" t="str">
        <f>IFERROR(VLOOKUP(K56,【参考】数式用!$AR$5:$AS$39,2, FALSE), "")</f>
        <v/>
      </c>
      <c r="AZ56" s="551" t="str">
        <f t="shared" si="16"/>
        <v/>
      </c>
      <c r="BA56" s="555" t="str">
        <f t="shared" si="28"/>
        <v>入力済</v>
      </c>
      <c r="BB56" s="534" t="str">
        <f>IFERROR(VLOOKUP(K56,【参考】数式用!$AX$3:$AY$59, 2, FALSE), "")</f>
        <v/>
      </c>
      <c r="BC56" s="551" t="str">
        <f t="shared" si="17"/>
        <v/>
      </c>
      <c r="BD56" s="555" t="str">
        <f t="shared" si="29"/>
        <v>入力済</v>
      </c>
      <c r="BE56" s="552" t="str">
        <f t="shared" si="18"/>
        <v/>
      </c>
      <c r="BF56" s="552" t="str">
        <f t="shared" si="30"/>
        <v/>
      </c>
    </row>
    <row r="57" spans="1:58" ht="109.95" customHeight="1" thickBot="1">
      <c r="A57" s="306">
        <v>44</v>
      </c>
      <c r="B57" s="646" t="str">
        <f>IF(基本情報入力シート!B79="","",基本情報入力シート!B79)</f>
        <v/>
      </c>
      <c r="C57" s="647"/>
      <c r="D57" s="647"/>
      <c r="E57" s="647"/>
      <c r="F57" s="648"/>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53" t="str">
        <f>IF(基本情報入力シート!AF79=0, "",基本情報入力シート!AF79)</f>
        <v/>
      </c>
      <c r="M57" s="581"/>
      <c r="N57" s="517" t="str">
        <f>IFERROR(VLOOKUP(K57,【参考】数式用!$A$2:$F$57,MATCH(M57,【参考】数式用!$C$3:$F$3,0)+2,0),"")</f>
        <v/>
      </c>
      <c r="O57" s="506"/>
      <c r="P57" s="549" t="str">
        <f>IFERROR(VLOOKUP(K57,【参考】数式用!$A$2:$F$57,MATCH(O57,【参考】数式用!$C$3:$F$3,0)+2,0),"")</f>
        <v/>
      </c>
      <c r="Q57" s="313" t="s">
        <v>113</v>
      </c>
      <c r="R57" s="311"/>
      <c r="S57" s="312" t="s">
        <v>178</v>
      </c>
      <c r="T57" s="311"/>
      <c r="U57" s="312" t="s">
        <v>179</v>
      </c>
      <c r="V57" s="311"/>
      <c r="W57" s="312" t="s">
        <v>178</v>
      </c>
      <c r="X57" s="311"/>
      <c r="Y57" s="312" t="s">
        <v>180</v>
      </c>
      <c r="Z57" s="312" t="s">
        <v>181</v>
      </c>
      <c r="AA57" s="312" t="str">
        <f t="shared" si="20"/>
        <v/>
      </c>
      <c r="AB57" s="308" t="s">
        <v>182</v>
      </c>
      <c r="AC57" s="309" t="str">
        <f t="shared" si="11"/>
        <v/>
      </c>
      <c r="AD57" s="510" t="str">
        <f t="shared" si="12"/>
        <v/>
      </c>
      <c r="AE57" s="310" t="str">
        <f>IFERROR(ROUNDDOWN(ROUNDDOWN(ROUND(L57*VLOOKUP(K57,【参考】数式用!$A$4:$F$57,MATCH("処遇改善加算Ⅳ",【参考】数式用!$C$3:$F$3,0)+2,0),0),0)*AA57*0.5,0), "")</f>
        <v/>
      </c>
      <c r="AF57" s="321"/>
      <c r="AG57" s="322"/>
      <c r="AH57" s="322"/>
      <c r="AI57" s="321"/>
      <c r="AJ57" s="323"/>
      <c r="AK57" s="329"/>
      <c r="AL57" s="327" t="str">
        <f t="shared" si="21"/>
        <v/>
      </c>
      <c r="AM57" s="328" t="str">
        <f t="shared" si="19"/>
        <v/>
      </c>
      <c r="AN57" s="258"/>
      <c r="AO57" s="551" t="str">
        <f>IFERROR(VLOOKUP(K57,【参考】数式用!$A$2:$N$57,14,FALSE),"")</f>
        <v/>
      </c>
      <c r="AP57" s="551" t="str">
        <f t="shared" si="22"/>
        <v/>
      </c>
      <c r="AQ57" s="556" t="str">
        <f t="shared" si="23"/>
        <v/>
      </c>
      <c r="AR57" s="534" t="str">
        <f t="shared" si="24"/>
        <v>入力済</v>
      </c>
      <c r="AS57" s="551" t="str">
        <f t="shared" si="13"/>
        <v/>
      </c>
      <c r="AT57" s="534" t="str">
        <f t="shared" si="25"/>
        <v>入力済</v>
      </c>
      <c r="AU57" s="534" t="str">
        <f t="shared" si="31"/>
        <v/>
      </c>
      <c r="AV57" s="534" t="str">
        <f t="shared" si="26"/>
        <v/>
      </c>
      <c r="AW57" s="551" t="str">
        <f t="shared" si="27"/>
        <v/>
      </c>
      <c r="AX57" s="551" t="str">
        <f t="shared" si="15"/>
        <v/>
      </c>
      <c r="AY57" s="534" t="str">
        <f>IFERROR(VLOOKUP(K57,【参考】数式用!$AR$5:$AS$39,2, FALSE), "")</f>
        <v/>
      </c>
      <c r="AZ57" s="551" t="str">
        <f t="shared" si="16"/>
        <v/>
      </c>
      <c r="BA57" s="555" t="str">
        <f t="shared" si="28"/>
        <v>入力済</v>
      </c>
      <c r="BB57" s="534" t="str">
        <f>IFERROR(VLOOKUP(K57,【参考】数式用!$AX$3:$AY$59, 2, FALSE), "")</f>
        <v/>
      </c>
      <c r="BC57" s="551" t="str">
        <f t="shared" si="17"/>
        <v/>
      </c>
      <c r="BD57" s="555" t="str">
        <f t="shared" si="29"/>
        <v>入力済</v>
      </c>
      <c r="BE57" s="552" t="str">
        <f t="shared" si="18"/>
        <v/>
      </c>
      <c r="BF57" s="552" t="str">
        <f t="shared" si="30"/>
        <v/>
      </c>
    </row>
    <row r="58" spans="1:58" ht="109.95" customHeight="1" thickBot="1">
      <c r="A58" s="306">
        <v>45</v>
      </c>
      <c r="B58" s="646" t="str">
        <f>IF(基本情報入力シート!B80="","",基本情報入力シート!B80)</f>
        <v/>
      </c>
      <c r="C58" s="647"/>
      <c r="D58" s="647"/>
      <c r="E58" s="647"/>
      <c r="F58" s="648"/>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53" t="str">
        <f>IF(基本情報入力シート!AF80=0, "",基本情報入力シート!AF80)</f>
        <v/>
      </c>
      <c r="M58" s="581"/>
      <c r="N58" s="517" t="str">
        <f>IFERROR(VLOOKUP(K58,【参考】数式用!$A$2:$F$57,MATCH(M58,【参考】数式用!$C$3:$F$3,0)+2,0),"")</f>
        <v/>
      </c>
      <c r="O58" s="506"/>
      <c r="P58" s="549" t="str">
        <f>IFERROR(VLOOKUP(K58,【参考】数式用!$A$2:$F$57,MATCH(O58,【参考】数式用!$C$3:$F$3,0)+2,0),"")</f>
        <v/>
      </c>
      <c r="Q58" s="313" t="s">
        <v>113</v>
      </c>
      <c r="R58" s="311"/>
      <c r="S58" s="312" t="s">
        <v>178</v>
      </c>
      <c r="T58" s="311"/>
      <c r="U58" s="312" t="s">
        <v>179</v>
      </c>
      <c r="V58" s="311"/>
      <c r="W58" s="312" t="s">
        <v>178</v>
      </c>
      <c r="X58" s="311"/>
      <c r="Y58" s="312" t="s">
        <v>180</v>
      </c>
      <c r="Z58" s="312" t="s">
        <v>181</v>
      </c>
      <c r="AA58" s="312" t="str">
        <f t="shared" si="20"/>
        <v/>
      </c>
      <c r="AB58" s="308" t="s">
        <v>182</v>
      </c>
      <c r="AC58" s="309" t="str">
        <f t="shared" si="11"/>
        <v/>
      </c>
      <c r="AD58" s="510" t="str">
        <f t="shared" si="12"/>
        <v/>
      </c>
      <c r="AE58" s="310" t="str">
        <f>IFERROR(ROUNDDOWN(ROUNDDOWN(ROUND(L58*VLOOKUP(K58,【参考】数式用!$A$4:$F$57,MATCH("処遇改善加算Ⅳ",【参考】数式用!$C$3:$F$3,0)+2,0),0),0)*AA58*0.5,0), "")</f>
        <v/>
      </c>
      <c r="AF58" s="321"/>
      <c r="AG58" s="322"/>
      <c r="AH58" s="322"/>
      <c r="AI58" s="321"/>
      <c r="AJ58" s="323"/>
      <c r="AK58" s="329"/>
      <c r="AL58" s="327" t="str">
        <f t="shared" si="21"/>
        <v/>
      </c>
      <c r="AM58" s="328" t="str">
        <f t="shared" si="19"/>
        <v/>
      </c>
      <c r="AN58" s="258"/>
      <c r="AO58" s="551" t="str">
        <f>IFERROR(VLOOKUP(K58,【参考】数式用!$A$2:$N$57,14,FALSE),"")</f>
        <v/>
      </c>
      <c r="AP58" s="551" t="str">
        <f t="shared" si="22"/>
        <v/>
      </c>
      <c r="AQ58" s="556" t="str">
        <f t="shared" si="23"/>
        <v/>
      </c>
      <c r="AR58" s="534" t="str">
        <f t="shared" si="24"/>
        <v>入力済</v>
      </c>
      <c r="AS58" s="551" t="str">
        <f t="shared" si="13"/>
        <v/>
      </c>
      <c r="AT58" s="534" t="str">
        <f t="shared" si="25"/>
        <v>入力済</v>
      </c>
      <c r="AU58" s="534" t="str">
        <f t="shared" si="31"/>
        <v/>
      </c>
      <c r="AV58" s="534" t="str">
        <f t="shared" si="26"/>
        <v/>
      </c>
      <c r="AW58" s="551" t="str">
        <f t="shared" si="27"/>
        <v/>
      </c>
      <c r="AX58" s="551" t="str">
        <f t="shared" si="15"/>
        <v/>
      </c>
      <c r="AY58" s="534" t="str">
        <f>IFERROR(VLOOKUP(K58,【参考】数式用!$AR$5:$AS$39,2, FALSE), "")</f>
        <v/>
      </c>
      <c r="AZ58" s="551" t="str">
        <f t="shared" si="16"/>
        <v/>
      </c>
      <c r="BA58" s="555" t="str">
        <f t="shared" si="28"/>
        <v>入力済</v>
      </c>
      <c r="BB58" s="534" t="str">
        <f>IFERROR(VLOOKUP(K58,【参考】数式用!$AX$3:$AY$59, 2, FALSE), "")</f>
        <v/>
      </c>
      <c r="BC58" s="551" t="str">
        <f t="shared" si="17"/>
        <v/>
      </c>
      <c r="BD58" s="555" t="str">
        <f t="shared" si="29"/>
        <v>入力済</v>
      </c>
      <c r="BE58" s="552" t="str">
        <f t="shared" si="18"/>
        <v/>
      </c>
      <c r="BF58" s="552" t="str">
        <f t="shared" si="30"/>
        <v/>
      </c>
    </row>
    <row r="59" spans="1:58" ht="109.95" customHeight="1" thickBot="1">
      <c r="A59" s="306">
        <v>46</v>
      </c>
      <c r="B59" s="646" t="str">
        <f>IF(基本情報入力シート!B81="","",基本情報入力シート!B81)</f>
        <v/>
      </c>
      <c r="C59" s="647"/>
      <c r="D59" s="647"/>
      <c r="E59" s="647"/>
      <c r="F59" s="648"/>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53" t="str">
        <f>IF(基本情報入力シート!AF81=0, "",基本情報入力シート!AF81)</f>
        <v/>
      </c>
      <c r="M59" s="581"/>
      <c r="N59" s="517" t="str">
        <f>IFERROR(VLOOKUP(K59,【参考】数式用!$A$2:$F$57,MATCH(M59,【参考】数式用!$C$3:$F$3,0)+2,0),"")</f>
        <v/>
      </c>
      <c r="O59" s="506"/>
      <c r="P59" s="549" t="str">
        <f>IFERROR(VLOOKUP(K59,【参考】数式用!$A$2:$F$57,MATCH(O59,【参考】数式用!$C$3:$F$3,0)+2,0),"")</f>
        <v/>
      </c>
      <c r="Q59" s="313" t="s">
        <v>113</v>
      </c>
      <c r="R59" s="311"/>
      <c r="S59" s="312" t="s">
        <v>178</v>
      </c>
      <c r="T59" s="311"/>
      <c r="U59" s="312" t="s">
        <v>179</v>
      </c>
      <c r="V59" s="311"/>
      <c r="W59" s="312" t="s">
        <v>178</v>
      </c>
      <c r="X59" s="311"/>
      <c r="Y59" s="312" t="s">
        <v>180</v>
      </c>
      <c r="Z59" s="312" t="s">
        <v>181</v>
      </c>
      <c r="AA59" s="312" t="str">
        <f t="shared" si="20"/>
        <v/>
      </c>
      <c r="AB59" s="308" t="s">
        <v>182</v>
      </c>
      <c r="AC59" s="309" t="str">
        <f t="shared" si="11"/>
        <v/>
      </c>
      <c r="AD59" s="510" t="str">
        <f t="shared" si="12"/>
        <v/>
      </c>
      <c r="AE59" s="310" t="str">
        <f>IFERROR(ROUNDDOWN(ROUNDDOWN(ROUND(L59*VLOOKUP(K59,【参考】数式用!$A$4:$F$57,MATCH("処遇改善加算Ⅳ",【参考】数式用!$C$3:$F$3,0)+2,0),0),0)*AA59*0.5,0), "")</f>
        <v/>
      </c>
      <c r="AF59" s="321"/>
      <c r="AG59" s="322"/>
      <c r="AH59" s="322"/>
      <c r="AI59" s="321"/>
      <c r="AJ59" s="323"/>
      <c r="AK59" s="329"/>
      <c r="AL59" s="327" t="str">
        <f t="shared" si="21"/>
        <v/>
      </c>
      <c r="AM59" s="328" t="str">
        <f t="shared" si="19"/>
        <v/>
      </c>
      <c r="AN59" s="258"/>
      <c r="AO59" s="551" t="str">
        <f>IFERROR(VLOOKUP(K59,【参考】数式用!$A$2:$N$57,14,FALSE),"")</f>
        <v/>
      </c>
      <c r="AP59" s="551" t="str">
        <f t="shared" si="22"/>
        <v/>
      </c>
      <c r="AQ59" s="556" t="str">
        <f t="shared" si="23"/>
        <v/>
      </c>
      <c r="AR59" s="534" t="str">
        <f t="shared" si="24"/>
        <v>入力済</v>
      </c>
      <c r="AS59" s="551" t="str">
        <f t="shared" si="13"/>
        <v/>
      </c>
      <c r="AT59" s="534" t="str">
        <f t="shared" si="25"/>
        <v>入力済</v>
      </c>
      <c r="AU59" s="534" t="str">
        <f t="shared" si="31"/>
        <v/>
      </c>
      <c r="AV59" s="534" t="str">
        <f t="shared" si="26"/>
        <v/>
      </c>
      <c r="AW59" s="551" t="str">
        <f t="shared" si="27"/>
        <v/>
      </c>
      <c r="AX59" s="551" t="str">
        <f t="shared" si="15"/>
        <v/>
      </c>
      <c r="AY59" s="534" t="str">
        <f>IFERROR(VLOOKUP(K59,【参考】数式用!$AR$5:$AS$39,2, FALSE), "")</f>
        <v/>
      </c>
      <c r="AZ59" s="551" t="str">
        <f t="shared" si="16"/>
        <v/>
      </c>
      <c r="BA59" s="555" t="str">
        <f t="shared" si="28"/>
        <v>入力済</v>
      </c>
      <c r="BB59" s="534" t="str">
        <f>IFERROR(VLOOKUP(K59,【参考】数式用!$AX$3:$AY$59, 2, FALSE), "")</f>
        <v/>
      </c>
      <c r="BC59" s="551" t="str">
        <f t="shared" si="17"/>
        <v/>
      </c>
      <c r="BD59" s="555" t="str">
        <f t="shared" si="29"/>
        <v>入力済</v>
      </c>
      <c r="BE59" s="552" t="str">
        <f t="shared" si="18"/>
        <v/>
      </c>
      <c r="BF59" s="552" t="str">
        <f t="shared" si="30"/>
        <v/>
      </c>
    </row>
    <row r="60" spans="1:58" ht="109.95" customHeight="1" thickBot="1">
      <c r="A60" s="306">
        <v>47</v>
      </c>
      <c r="B60" s="646" t="str">
        <f>IF(基本情報入力シート!B82="","",基本情報入力シート!B82)</f>
        <v/>
      </c>
      <c r="C60" s="647"/>
      <c r="D60" s="647"/>
      <c r="E60" s="647"/>
      <c r="F60" s="648"/>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53" t="str">
        <f>IF(基本情報入力シート!AF82=0, "",基本情報入力シート!AF82)</f>
        <v/>
      </c>
      <c r="M60" s="581"/>
      <c r="N60" s="517" t="str">
        <f>IFERROR(VLOOKUP(K60,【参考】数式用!$A$2:$F$57,MATCH(M60,【参考】数式用!$C$3:$F$3,0)+2,0),"")</f>
        <v/>
      </c>
      <c r="O60" s="506"/>
      <c r="P60" s="549" t="str">
        <f>IFERROR(VLOOKUP(K60,【参考】数式用!$A$2:$F$57,MATCH(O60,【参考】数式用!$C$3:$F$3,0)+2,0),"")</f>
        <v/>
      </c>
      <c r="Q60" s="313" t="s">
        <v>113</v>
      </c>
      <c r="R60" s="311"/>
      <c r="S60" s="312" t="s">
        <v>178</v>
      </c>
      <c r="T60" s="311"/>
      <c r="U60" s="312" t="s">
        <v>179</v>
      </c>
      <c r="V60" s="311"/>
      <c r="W60" s="312" t="s">
        <v>178</v>
      </c>
      <c r="X60" s="311"/>
      <c r="Y60" s="312" t="s">
        <v>180</v>
      </c>
      <c r="Z60" s="312" t="s">
        <v>181</v>
      </c>
      <c r="AA60" s="312" t="str">
        <f t="shared" si="20"/>
        <v/>
      </c>
      <c r="AB60" s="308" t="s">
        <v>182</v>
      </c>
      <c r="AC60" s="309" t="str">
        <f t="shared" si="11"/>
        <v/>
      </c>
      <c r="AD60" s="510" t="str">
        <f t="shared" si="12"/>
        <v/>
      </c>
      <c r="AE60" s="310" t="str">
        <f>IFERROR(ROUNDDOWN(ROUNDDOWN(ROUND(L60*VLOOKUP(K60,【参考】数式用!$A$4:$F$57,MATCH("処遇改善加算Ⅳ",【参考】数式用!$C$3:$F$3,0)+2,0),0),0)*AA60*0.5,0), "")</f>
        <v/>
      </c>
      <c r="AF60" s="321"/>
      <c r="AG60" s="322"/>
      <c r="AH60" s="322"/>
      <c r="AI60" s="321"/>
      <c r="AJ60" s="323"/>
      <c r="AK60" s="329"/>
      <c r="AL60" s="327" t="str">
        <f t="shared" si="21"/>
        <v/>
      </c>
      <c r="AM60" s="328" t="str">
        <f t="shared" si="19"/>
        <v/>
      </c>
      <c r="AN60" s="258"/>
      <c r="AO60" s="551" t="str">
        <f>IFERROR(VLOOKUP(K60,【参考】数式用!$A$2:$N$57,14,FALSE),"")</f>
        <v/>
      </c>
      <c r="AP60" s="551" t="str">
        <f t="shared" si="22"/>
        <v/>
      </c>
      <c r="AQ60" s="556" t="str">
        <f t="shared" si="23"/>
        <v/>
      </c>
      <c r="AR60" s="534" t="str">
        <f t="shared" si="24"/>
        <v>入力済</v>
      </c>
      <c r="AS60" s="551" t="str">
        <f t="shared" si="13"/>
        <v/>
      </c>
      <c r="AT60" s="534" t="str">
        <f t="shared" si="25"/>
        <v>入力済</v>
      </c>
      <c r="AU60" s="534" t="str">
        <f t="shared" si="31"/>
        <v/>
      </c>
      <c r="AV60" s="534" t="str">
        <f t="shared" si="26"/>
        <v/>
      </c>
      <c r="AW60" s="551" t="str">
        <f t="shared" si="27"/>
        <v/>
      </c>
      <c r="AX60" s="551" t="str">
        <f t="shared" si="15"/>
        <v/>
      </c>
      <c r="AY60" s="534" t="str">
        <f>IFERROR(VLOOKUP(K60,【参考】数式用!$AR$5:$AS$39,2, FALSE), "")</f>
        <v/>
      </c>
      <c r="AZ60" s="551" t="str">
        <f t="shared" si="16"/>
        <v/>
      </c>
      <c r="BA60" s="555" t="str">
        <f t="shared" si="28"/>
        <v>入力済</v>
      </c>
      <c r="BB60" s="534" t="str">
        <f>IFERROR(VLOOKUP(K60,【参考】数式用!$AX$3:$AY$59, 2, FALSE), "")</f>
        <v/>
      </c>
      <c r="BC60" s="551" t="str">
        <f t="shared" si="17"/>
        <v/>
      </c>
      <c r="BD60" s="555" t="str">
        <f t="shared" si="29"/>
        <v>入力済</v>
      </c>
      <c r="BE60" s="552" t="str">
        <f t="shared" si="18"/>
        <v/>
      </c>
      <c r="BF60" s="552" t="str">
        <f t="shared" si="30"/>
        <v/>
      </c>
    </row>
    <row r="61" spans="1:58" ht="109.95" customHeight="1" thickBot="1">
      <c r="A61" s="306">
        <v>48</v>
      </c>
      <c r="B61" s="646" t="str">
        <f>IF(基本情報入力シート!B83="","",基本情報入力シート!B83)</f>
        <v/>
      </c>
      <c r="C61" s="647"/>
      <c r="D61" s="647"/>
      <c r="E61" s="647"/>
      <c r="F61" s="648"/>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53" t="str">
        <f>IF(基本情報入力シート!AF83=0, "",基本情報入力シート!AF83)</f>
        <v/>
      </c>
      <c r="M61" s="581"/>
      <c r="N61" s="517" t="str">
        <f>IFERROR(VLOOKUP(K61,【参考】数式用!$A$2:$F$57,MATCH(M61,【参考】数式用!$C$3:$F$3,0)+2,0),"")</f>
        <v/>
      </c>
      <c r="O61" s="506"/>
      <c r="P61" s="549" t="str">
        <f>IFERROR(VLOOKUP(K61,【参考】数式用!$A$2:$F$57,MATCH(O61,【参考】数式用!$C$3:$F$3,0)+2,0),"")</f>
        <v/>
      </c>
      <c r="Q61" s="313" t="s">
        <v>113</v>
      </c>
      <c r="R61" s="311"/>
      <c r="S61" s="312" t="s">
        <v>178</v>
      </c>
      <c r="T61" s="311"/>
      <c r="U61" s="312" t="s">
        <v>179</v>
      </c>
      <c r="V61" s="311"/>
      <c r="W61" s="312" t="s">
        <v>178</v>
      </c>
      <c r="X61" s="311"/>
      <c r="Y61" s="312" t="s">
        <v>180</v>
      </c>
      <c r="Z61" s="312" t="s">
        <v>181</v>
      </c>
      <c r="AA61" s="312" t="str">
        <f t="shared" si="20"/>
        <v/>
      </c>
      <c r="AB61" s="308" t="s">
        <v>182</v>
      </c>
      <c r="AC61" s="309" t="str">
        <f t="shared" si="11"/>
        <v/>
      </c>
      <c r="AD61" s="510" t="str">
        <f t="shared" si="12"/>
        <v/>
      </c>
      <c r="AE61" s="310" t="str">
        <f>IFERROR(ROUNDDOWN(ROUNDDOWN(ROUND(L61*VLOOKUP(K61,【参考】数式用!$A$4:$F$57,MATCH("処遇改善加算Ⅳ",【参考】数式用!$C$3:$F$3,0)+2,0),0),0)*AA61*0.5,0), "")</f>
        <v/>
      </c>
      <c r="AF61" s="321"/>
      <c r="AG61" s="322"/>
      <c r="AH61" s="322"/>
      <c r="AI61" s="321"/>
      <c r="AJ61" s="323"/>
      <c r="AK61" s="329"/>
      <c r="AL61" s="327" t="str">
        <f t="shared" si="21"/>
        <v/>
      </c>
      <c r="AM61" s="328" t="str">
        <f t="shared" si="19"/>
        <v/>
      </c>
      <c r="AN61" s="258"/>
      <c r="AO61" s="551" t="str">
        <f>IFERROR(VLOOKUP(K61,【参考】数式用!$A$2:$N$57,14,FALSE),"")</f>
        <v/>
      </c>
      <c r="AP61" s="551" t="str">
        <f t="shared" si="22"/>
        <v/>
      </c>
      <c r="AQ61" s="556" t="str">
        <f t="shared" si="23"/>
        <v/>
      </c>
      <c r="AR61" s="534" t="str">
        <f t="shared" si="24"/>
        <v>入力済</v>
      </c>
      <c r="AS61" s="551" t="str">
        <f t="shared" si="13"/>
        <v/>
      </c>
      <c r="AT61" s="534" t="str">
        <f t="shared" si="25"/>
        <v>入力済</v>
      </c>
      <c r="AU61" s="534" t="str">
        <f t="shared" si="31"/>
        <v/>
      </c>
      <c r="AV61" s="534" t="str">
        <f t="shared" si="26"/>
        <v/>
      </c>
      <c r="AW61" s="551" t="str">
        <f t="shared" si="27"/>
        <v/>
      </c>
      <c r="AX61" s="551" t="str">
        <f t="shared" si="15"/>
        <v/>
      </c>
      <c r="AY61" s="534" t="str">
        <f>IFERROR(VLOOKUP(K61,【参考】数式用!$AR$5:$AS$39,2, FALSE), "")</f>
        <v/>
      </c>
      <c r="AZ61" s="551" t="str">
        <f t="shared" si="16"/>
        <v/>
      </c>
      <c r="BA61" s="555" t="str">
        <f t="shared" si="28"/>
        <v>入力済</v>
      </c>
      <c r="BB61" s="534" t="str">
        <f>IFERROR(VLOOKUP(K61,【参考】数式用!$AX$3:$AY$59, 2, FALSE), "")</f>
        <v/>
      </c>
      <c r="BC61" s="551" t="str">
        <f t="shared" si="17"/>
        <v/>
      </c>
      <c r="BD61" s="555" t="str">
        <f t="shared" si="29"/>
        <v>入力済</v>
      </c>
      <c r="BE61" s="552" t="str">
        <f t="shared" si="18"/>
        <v/>
      </c>
      <c r="BF61" s="552" t="str">
        <f t="shared" si="30"/>
        <v/>
      </c>
    </row>
    <row r="62" spans="1:58" ht="109.95" customHeight="1" thickBot="1">
      <c r="A62" s="306">
        <v>49</v>
      </c>
      <c r="B62" s="646" t="str">
        <f>IF(基本情報入力シート!B84="","",基本情報入力シート!B84)</f>
        <v/>
      </c>
      <c r="C62" s="647"/>
      <c r="D62" s="647"/>
      <c r="E62" s="647"/>
      <c r="F62" s="648"/>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53" t="str">
        <f>IF(基本情報入力シート!AF84=0, "",基本情報入力シート!AF84)</f>
        <v/>
      </c>
      <c r="M62" s="581"/>
      <c r="N62" s="517" t="str">
        <f>IFERROR(VLOOKUP(K62,【参考】数式用!$A$2:$F$57,MATCH(M62,【参考】数式用!$C$3:$F$3,0)+2,0),"")</f>
        <v/>
      </c>
      <c r="O62" s="506"/>
      <c r="P62" s="549" t="str">
        <f>IFERROR(VLOOKUP(K62,【参考】数式用!$A$2:$F$57,MATCH(O62,【参考】数式用!$C$3:$F$3,0)+2,0),"")</f>
        <v/>
      </c>
      <c r="Q62" s="313" t="s">
        <v>113</v>
      </c>
      <c r="R62" s="311"/>
      <c r="S62" s="312" t="s">
        <v>178</v>
      </c>
      <c r="T62" s="311"/>
      <c r="U62" s="312" t="s">
        <v>179</v>
      </c>
      <c r="V62" s="311"/>
      <c r="W62" s="312" t="s">
        <v>178</v>
      </c>
      <c r="X62" s="311"/>
      <c r="Y62" s="312" t="s">
        <v>180</v>
      </c>
      <c r="Z62" s="312" t="s">
        <v>181</v>
      </c>
      <c r="AA62" s="312" t="str">
        <f t="shared" si="20"/>
        <v/>
      </c>
      <c r="AB62" s="308" t="s">
        <v>182</v>
      </c>
      <c r="AC62" s="309" t="str">
        <f t="shared" si="11"/>
        <v/>
      </c>
      <c r="AD62" s="510" t="str">
        <f t="shared" si="12"/>
        <v/>
      </c>
      <c r="AE62" s="310" t="str">
        <f>IFERROR(ROUNDDOWN(ROUNDDOWN(ROUND(L62*VLOOKUP(K62,【参考】数式用!$A$4:$F$57,MATCH("処遇改善加算Ⅳ",【参考】数式用!$C$3:$F$3,0)+2,0),0),0)*AA62*0.5,0), "")</f>
        <v/>
      </c>
      <c r="AF62" s="321"/>
      <c r="AG62" s="322"/>
      <c r="AH62" s="322"/>
      <c r="AI62" s="321"/>
      <c r="AJ62" s="323"/>
      <c r="AK62" s="329"/>
      <c r="AL62" s="327" t="str">
        <f t="shared" si="21"/>
        <v/>
      </c>
      <c r="AM62" s="328" t="str">
        <f t="shared" si="19"/>
        <v/>
      </c>
      <c r="AN62" s="258"/>
      <c r="AO62" s="551" t="str">
        <f>IFERROR(VLOOKUP(K62,【参考】数式用!$A$2:$N$57,14,FALSE),"")</f>
        <v/>
      </c>
      <c r="AP62" s="551" t="str">
        <f t="shared" si="22"/>
        <v/>
      </c>
      <c r="AQ62" s="556" t="str">
        <f t="shared" si="23"/>
        <v/>
      </c>
      <c r="AR62" s="534" t="str">
        <f t="shared" si="24"/>
        <v>入力済</v>
      </c>
      <c r="AS62" s="551" t="str">
        <f t="shared" si="13"/>
        <v/>
      </c>
      <c r="AT62" s="534" t="str">
        <f t="shared" si="25"/>
        <v>入力済</v>
      </c>
      <c r="AU62" s="534" t="str">
        <f t="shared" si="31"/>
        <v/>
      </c>
      <c r="AV62" s="534" t="str">
        <f t="shared" si="26"/>
        <v/>
      </c>
      <c r="AW62" s="551" t="str">
        <f t="shared" si="27"/>
        <v/>
      </c>
      <c r="AX62" s="551" t="str">
        <f t="shared" si="15"/>
        <v/>
      </c>
      <c r="AY62" s="534" t="str">
        <f>IFERROR(VLOOKUP(K62,【参考】数式用!$AR$5:$AS$39,2, FALSE), "")</f>
        <v/>
      </c>
      <c r="AZ62" s="551" t="str">
        <f t="shared" si="16"/>
        <v/>
      </c>
      <c r="BA62" s="555" t="str">
        <f t="shared" si="28"/>
        <v>入力済</v>
      </c>
      <c r="BB62" s="534" t="str">
        <f>IFERROR(VLOOKUP(K62,【参考】数式用!$AX$3:$AY$59, 2, FALSE), "")</f>
        <v/>
      </c>
      <c r="BC62" s="551" t="str">
        <f t="shared" si="17"/>
        <v/>
      </c>
      <c r="BD62" s="555" t="str">
        <f t="shared" si="29"/>
        <v>入力済</v>
      </c>
      <c r="BE62" s="552" t="str">
        <f t="shared" si="18"/>
        <v/>
      </c>
      <c r="BF62" s="552" t="str">
        <f t="shared" si="30"/>
        <v/>
      </c>
    </row>
    <row r="63" spans="1:58" ht="109.95" customHeight="1" thickBot="1">
      <c r="A63" s="306">
        <v>50</v>
      </c>
      <c r="B63" s="646" t="str">
        <f>IF(基本情報入力シート!B85="","",基本情報入力シート!B85)</f>
        <v/>
      </c>
      <c r="C63" s="647"/>
      <c r="D63" s="647"/>
      <c r="E63" s="647"/>
      <c r="F63" s="648"/>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53" t="str">
        <f>IF(基本情報入力シート!AF85=0, "",基本情報入力シート!AF85)</f>
        <v/>
      </c>
      <c r="M63" s="581"/>
      <c r="N63" s="517" t="str">
        <f>IFERROR(VLOOKUP(K63,【参考】数式用!$A$2:$F$57,MATCH(M63,【参考】数式用!$C$3:$F$3,0)+2,0),"")</f>
        <v/>
      </c>
      <c r="O63" s="506"/>
      <c r="P63" s="549" t="str">
        <f>IFERROR(VLOOKUP(K63,【参考】数式用!$A$2:$F$57,MATCH(O63,【参考】数式用!$C$3:$F$3,0)+2,0),"")</f>
        <v/>
      </c>
      <c r="Q63" s="313" t="s">
        <v>113</v>
      </c>
      <c r="R63" s="311"/>
      <c r="S63" s="312" t="s">
        <v>178</v>
      </c>
      <c r="T63" s="311"/>
      <c r="U63" s="312" t="s">
        <v>179</v>
      </c>
      <c r="V63" s="311"/>
      <c r="W63" s="312" t="s">
        <v>178</v>
      </c>
      <c r="X63" s="311"/>
      <c r="Y63" s="312" t="s">
        <v>180</v>
      </c>
      <c r="Z63" s="312" t="s">
        <v>181</v>
      </c>
      <c r="AA63" s="312" t="str">
        <f t="shared" si="20"/>
        <v/>
      </c>
      <c r="AB63" s="308" t="s">
        <v>182</v>
      </c>
      <c r="AC63" s="309" t="str">
        <f t="shared" si="11"/>
        <v/>
      </c>
      <c r="AD63" s="510" t="str">
        <f t="shared" si="12"/>
        <v/>
      </c>
      <c r="AE63" s="310" t="str">
        <f>IFERROR(ROUNDDOWN(ROUNDDOWN(ROUND(L63*VLOOKUP(K63,【参考】数式用!$A$4:$F$57,MATCH("処遇改善加算Ⅳ",【参考】数式用!$C$3:$F$3,0)+2,0),0),0)*AA63*0.5,0), "")</f>
        <v/>
      </c>
      <c r="AF63" s="321"/>
      <c r="AG63" s="322"/>
      <c r="AH63" s="322"/>
      <c r="AI63" s="321"/>
      <c r="AJ63" s="323"/>
      <c r="AK63" s="329"/>
      <c r="AL63" s="327" t="str">
        <f t="shared" si="21"/>
        <v/>
      </c>
      <c r="AM63" s="328" t="str">
        <f t="shared" si="19"/>
        <v/>
      </c>
      <c r="AN63" s="258"/>
      <c r="AO63" s="551" t="str">
        <f>IFERROR(VLOOKUP(K63,【参考】数式用!$A$2:$N$57,14,FALSE),"")</f>
        <v/>
      </c>
      <c r="AP63" s="551" t="str">
        <f t="shared" si="22"/>
        <v/>
      </c>
      <c r="AQ63" s="556" t="str">
        <f t="shared" si="23"/>
        <v/>
      </c>
      <c r="AR63" s="534" t="str">
        <f t="shared" si="24"/>
        <v>入力済</v>
      </c>
      <c r="AS63" s="551" t="str">
        <f t="shared" si="13"/>
        <v/>
      </c>
      <c r="AT63" s="534" t="str">
        <f t="shared" si="25"/>
        <v>入力済</v>
      </c>
      <c r="AU63" s="534" t="str">
        <f t="shared" si="31"/>
        <v/>
      </c>
      <c r="AV63" s="534" t="str">
        <f t="shared" si="26"/>
        <v/>
      </c>
      <c r="AW63" s="551" t="str">
        <f t="shared" si="27"/>
        <v/>
      </c>
      <c r="AX63" s="551" t="str">
        <f t="shared" si="15"/>
        <v/>
      </c>
      <c r="AY63" s="534" t="str">
        <f>IFERROR(VLOOKUP(K63,【参考】数式用!$AR$5:$AS$39,2, FALSE), "")</f>
        <v/>
      </c>
      <c r="AZ63" s="551" t="str">
        <f t="shared" si="16"/>
        <v/>
      </c>
      <c r="BA63" s="555" t="str">
        <f t="shared" si="28"/>
        <v>入力済</v>
      </c>
      <c r="BB63" s="534" t="str">
        <f>IFERROR(VLOOKUP(K63,【参考】数式用!$AX$3:$AY$59, 2, FALSE), "")</f>
        <v/>
      </c>
      <c r="BC63" s="551" t="str">
        <f t="shared" si="17"/>
        <v/>
      </c>
      <c r="BD63" s="555" t="str">
        <f t="shared" si="29"/>
        <v>入力済</v>
      </c>
      <c r="BE63" s="552" t="str">
        <f t="shared" si="18"/>
        <v/>
      </c>
      <c r="BF63" s="552" t="str">
        <f t="shared" si="30"/>
        <v/>
      </c>
    </row>
    <row r="64" spans="1:58" ht="109.95" customHeight="1" thickBot="1">
      <c r="A64" s="306">
        <v>51</v>
      </c>
      <c r="B64" s="646" t="str">
        <f>IF(基本情報入力シート!B86="","",基本情報入力シート!B86)</f>
        <v/>
      </c>
      <c r="C64" s="647"/>
      <c r="D64" s="647"/>
      <c r="E64" s="647"/>
      <c r="F64" s="648"/>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53" t="str">
        <f>IF(基本情報入力シート!AF86=0, "",基本情報入力シート!AF86)</f>
        <v/>
      </c>
      <c r="M64" s="581"/>
      <c r="N64" s="517" t="str">
        <f>IFERROR(VLOOKUP(K64,【参考】数式用!$A$2:$F$57,MATCH(M64,【参考】数式用!$C$3:$F$3,0)+2,0),"")</f>
        <v/>
      </c>
      <c r="O64" s="506"/>
      <c r="P64" s="549" t="str">
        <f>IFERROR(VLOOKUP(K64,【参考】数式用!$A$2:$F$57,MATCH(O64,【参考】数式用!$C$3:$F$3,0)+2,0),"")</f>
        <v/>
      </c>
      <c r="Q64" s="313" t="s">
        <v>113</v>
      </c>
      <c r="R64" s="311"/>
      <c r="S64" s="312" t="s">
        <v>178</v>
      </c>
      <c r="T64" s="311"/>
      <c r="U64" s="312" t="s">
        <v>179</v>
      </c>
      <c r="V64" s="311"/>
      <c r="W64" s="312" t="s">
        <v>178</v>
      </c>
      <c r="X64" s="311"/>
      <c r="Y64" s="312" t="s">
        <v>180</v>
      </c>
      <c r="Z64" s="312" t="s">
        <v>181</v>
      </c>
      <c r="AA64" s="312" t="str">
        <f t="shared" si="20"/>
        <v/>
      </c>
      <c r="AB64" s="308" t="s">
        <v>182</v>
      </c>
      <c r="AC64" s="309" t="str">
        <f t="shared" si="11"/>
        <v/>
      </c>
      <c r="AD64" s="510" t="str">
        <f t="shared" si="12"/>
        <v/>
      </c>
      <c r="AE64" s="310" t="str">
        <f>IFERROR(ROUNDDOWN(ROUNDDOWN(ROUND(L64*VLOOKUP(K64,【参考】数式用!$A$4:$F$57,MATCH("処遇改善加算Ⅳ",【参考】数式用!$C$3:$F$3,0)+2,0),0),0)*AA64*0.5,0), "")</f>
        <v/>
      </c>
      <c r="AF64" s="321"/>
      <c r="AG64" s="322"/>
      <c r="AH64" s="322"/>
      <c r="AI64" s="321"/>
      <c r="AJ64" s="323"/>
      <c r="AK64" s="329"/>
      <c r="AL64" s="327" t="str">
        <f t="shared" si="21"/>
        <v/>
      </c>
      <c r="AM64" s="328" t="str">
        <f t="shared" si="19"/>
        <v/>
      </c>
      <c r="AN64" s="258"/>
      <c r="AO64" s="551" t="str">
        <f>IFERROR(VLOOKUP(K64,【参考】数式用!$A$2:$N$57,14,FALSE),"")</f>
        <v/>
      </c>
      <c r="AP64" s="551" t="str">
        <f t="shared" si="22"/>
        <v/>
      </c>
      <c r="AQ64" s="556" t="str">
        <f t="shared" si="23"/>
        <v/>
      </c>
      <c r="AR64" s="534" t="str">
        <f t="shared" si="24"/>
        <v>入力済</v>
      </c>
      <c r="AS64" s="551" t="str">
        <f t="shared" si="13"/>
        <v/>
      </c>
      <c r="AT64" s="534" t="str">
        <f t="shared" si="25"/>
        <v>入力済</v>
      </c>
      <c r="AU64" s="534" t="str">
        <f t="shared" si="31"/>
        <v/>
      </c>
      <c r="AV64" s="534" t="str">
        <f t="shared" si="26"/>
        <v/>
      </c>
      <c r="AW64" s="551" t="str">
        <f t="shared" si="27"/>
        <v/>
      </c>
      <c r="AX64" s="551" t="str">
        <f t="shared" si="15"/>
        <v/>
      </c>
      <c r="AY64" s="534" t="str">
        <f>IFERROR(VLOOKUP(K64,【参考】数式用!$AR$5:$AS$39,2, FALSE), "")</f>
        <v/>
      </c>
      <c r="AZ64" s="551" t="str">
        <f t="shared" si="16"/>
        <v/>
      </c>
      <c r="BA64" s="555" t="str">
        <f t="shared" si="28"/>
        <v>入力済</v>
      </c>
      <c r="BB64" s="534" t="str">
        <f>IFERROR(VLOOKUP(K64,【参考】数式用!$AX$3:$AY$59, 2, FALSE), "")</f>
        <v/>
      </c>
      <c r="BC64" s="551" t="str">
        <f t="shared" si="17"/>
        <v/>
      </c>
      <c r="BD64" s="555" t="str">
        <f t="shared" si="29"/>
        <v>入力済</v>
      </c>
      <c r="BE64" s="552" t="str">
        <f t="shared" si="18"/>
        <v/>
      </c>
      <c r="BF64" s="552" t="str">
        <f t="shared" si="30"/>
        <v/>
      </c>
    </row>
    <row r="65" spans="1:58" ht="109.95" customHeight="1" thickBot="1">
      <c r="A65" s="306">
        <v>52</v>
      </c>
      <c r="B65" s="646" t="str">
        <f>IF(基本情報入力シート!B87="","",基本情報入力シート!B87)</f>
        <v/>
      </c>
      <c r="C65" s="647"/>
      <c r="D65" s="647"/>
      <c r="E65" s="647"/>
      <c r="F65" s="648"/>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53" t="str">
        <f>IF(基本情報入力シート!AF87=0, "",基本情報入力シート!AF87)</f>
        <v/>
      </c>
      <c r="M65" s="581"/>
      <c r="N65" s="517" t="str">
        <f>IFERROR(VLOOKUP(K65,【参考】数式用!$A$2:$F$57,MATCH(M65,【参考】数式用!$C$3:$F$3,0)+2,0),"")</f>
        <v/>
      </c>
      <c r="O65" s="506"/>
      <c r="P65" s="549" t="str">
        <f>IFERROR(VLOOKUP(K65,【参考】数式用!$A$2:$F$57,MATCH(O65,【参考】数式用!$C$3:$F$3,0)+2,0),"")</f>
        <v/>
      </c>
      <c r="Q65" s="313" t="s">
        <v>113</v>
      </c>
      <c r="R65" s="311"/>
      <c r="S65" s="312" t="s">
        <v>178</v>
      </c>
      <c r="T65" s="311"/>
      <c r="U65" s="312" t="s">
        <v>179</v>
      </c>
      <c r="V65" s="311"/>
      <c r="W65" s="312" t="s">
        <v>178</v>
      </c>
      <c r="X65" s="311"/>
      <c r="Y65" s="312" t="s">
        <v>180</v>
      </c>
      <c r="Z65" s="312" t="s">
        <v>181</v>
      </c>
      <c r="AA65" s="312" t="str">
        <f t="shared" si="20"/>
        <v/>
      </c>
      <c r="AB65" s="308" t="s">
        <v>182</v>
      </c>
      <c r="AC65" s="309" t="str">
        <f t="shared" si="11"/>
        <v/>
      </c>
      <c r="AD65" s="510" t="str">
        <f t="shared" si="12"/>
        <v/>
      </c>
      <c r="AE65" s="310" t="str">
        <f>IFERROR(ROUNDDOWN(ROUNDDOWN(ROUND(L65*VLOOKUP(K65,【参考】数式用!$A$4:$F$57,MATCH("処遇改善加算Ⅳ",【参考】数式用!$C$3:$F$3,0)+2,0),0),0)*AA65*0.5,0), "")</f>
        <v/>
      </c>
      <c r="AF65" s="321"/>
      <c r="AG65" s="322"/>
      <c r="AH65" s="322"/>
      <c r="AI65" s="321"/>
      <c r="AJ65" s="323"/>
      <c r="AK65" s="329"/>
      <c r="AL65" s="327" t="str">
        <f t="shared" si="21"/>
        <v/>
      </c>
      <c r="AM65" s="328" t="str">
        <f t="shared" si="19"/>
        <v/>
      </c>
      <c r="AN65" s="258"/>
      <c r="AO65" s="551" t="str">
        <f>IFERROR(VLOOKUP(K65,【参考】数式用!$A$2:$N$57,14,FALSE),"")</f>
        <v/>
      </c>
      <c r="AP65" s="551" t="str">
        <f t="shared" si="22"/>
        <v/>
      </c>
      <c r="AQ65" s="556" t="str">
        <f t="shared" si="23"/>
        <v/>
      </c>
      <c r="AR65" s="534" t="str">
        <f t="shared" si="24"/>
        <v>入力済</v>
      </c>
      <c r="AS65" s="551" t="str">
        <f t="shared" si="13"/>
        <v/>
      </c>
      <c r="AT65" s="534" t="str">
        <f t="shared" si="25"/>
        <v>入力済</v>
      </c>
      <c r="AU65" s="534" t="str">
        <f t="shared" si="31"/>
        <v/>
      </c>
      <c r="AV65" s="534" t="str">
        <f t="shared" si="26"/>
        <v/>
      </c>
      <c r="AW65" s="551" t="str">
        <f t="shared" si="27"/>
        <v/>
      </c>
      <c r="AX65" s="551" t="str">
        <f t="shared" si="15"/>
        <v/>
      </c>
      <c r="AY65" s="534" t="str">
        <f>IFERROR(VLOOKUP(K65,【参考】数式用!$AR$5:$AS$39,2, FALSE), "")</f>
        <v/>
      </c>
      <c r="AZ65" s="551" t="str">
        <f t="shared" si="16"/>
        <v/>
      </c>
      <c r="BA65" s="555" t="str">
        <f t="shared" si="28"/>
        <v>入力済</v>
      </c>
      <c r="BB65" s="534" t="str">
        <f>IFERROR(VLOOKUP(K65,【参考】数式用!$AX$3:$AY$59, 2, FALSE), "")</f>
        <v/>
      </c>
      <c r="BC65" s="551" t="str">
        <f t="shared" si="17"/>
        <v/>
      </c>
      <c r="BD65" s="555" t="str">
        <f t="shared" si="29"/>
        <v>入力済</v>
      </c>
      <c r="BE65" s="552" t="str">
        <f t="shared" si="18"/>
        <v/>
      </c>
      <c r="BF65" s="552" t="str">
        <f t="shared" si="30"/>
        <v/>
      </c>
    </row>
    <row r="66" spans="1:58" ht="109.95" customHeight="1" thickBot="1">
      <c r="A66" s="306">
        <v>53</v>
      </c>
      <c r="B66" s="646" t="str">
        <f>IF(基本情報入力シート!B88="","",基本情報入力シート!B88)</f>
        <v/>
      </c>
      <c r="C66" s="647"/>
      <c r="D66" s="647"/>
      <c r="E66" s="647"/>
      <c r="F66" s="648"/>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53" t="str">
        <f>IF(基本情報入力シート!AF88=0, "",基本情報入力シート!AF88)</f>
        <v/>
      </c>
      <c r="M66" s="581"/>
      <c r="N66" s="517" t="str">
        <f>IFERROR(VLOOKUP(K66,【参考】数式用!$A$2:$F$57,MATCH(M66,【参考】数式用!$C$3:$F$3,0)+2,0),"")</f>
        <v/>
      </c>
      <c r="O66" s="506"/>
      <c r="P66" s="549" t="str">
        <f>IFERROR(VLOOKUP(K66,【参考】数式用!$A$2:$F$57,MATCH(O66,【参考】数式用!$C$3:$F$3,0)+2,0),"")</f>
        <v/>
      </c>
      <c r="Q66" s="313" t="s">
        <v>113</v>
      </c>
      <c r="R66" s="311"/>
      <c r="S66" s="312" t="s">
        <v>178</v>
      </c>
      <c r="T66" s="311"/>
      <c r="U66" s="312" t="s">
        <v>179</v>
      </c>
      <c r="V66" s="311"/>
      <c r="W66" s="312" t="s">
        <v>178</v>
      </c>
      <c r="X66" s="311"/>
      <c r="Y66" s="312" t="s">
        <v>180</v>
      </c>
      <c r="Z66" s="312" t="s">
        <v>181</v>
      </c>
      <c r="AA66" s="312" t="str">
        <f t="shared" si="20"/>
        <v/>
      </c>
      <c r="AB66" s="308" t="s">
        <v>182</v>
      </c>
      <c r="AC66" s="309" t="str">
        <f t="shared" si="11"/>
        <v/>
      </c>
      <c r="AD66" s="510" t="str">
        <f t="shared" si="12"/>
        <v/>
      </c>
      <c r="AE66" s="310" t="str">
        <f>IFERROR(ROUNDDOWN(ROUNDDOWN(ROUND(L66*VLOOKUP(K66,【参考】数式用!$A$4:$F$57,MATCH("処遇改善加算Ⅳ",【参考】数式用!$C$3:$F$3,0)+2,0),0),0)*AA66*0.5,0), "")</f>
        <v/>
      </c>
      <c r="AF66" s="321"/>
      <c r="AG66" s="322"/>
      <c r="AH66" s="322"/>
      <c r="AI66" s="321"/>
      <c r="AJ66" s="323"/>
      <c r="AK66" s="329"/>
      <c r="AL66" s="327" t="str">
        <f t="shared" si="21"/>
        <v/>
      </c>
      <c r="AM66" s="328" t="str">
        <f t="shared" si="19"/>
        <v/>
      </c>
      <c r="AN66" s="258"/>
      <c r="AO66" s="551" t="str">
        <f>IFERROR(VLOOKUP(K66,【参考】数式用!$A$2:$N$57,14,FALSE),"")</f>
        <v/>
      </c>
      <c r="AP66" s="551" t="str">
        <f t="shared" si="22"/>
        <v/>
      </c>
      <c r="AQ66" s="556" t="str">
        <f t="shared" si="23"/>
        <v/>
      </c>
      <c r="AR66" s="534" t="str">
        <f t="shared" si="24"/>
        <v>入力済</v>
      </c>
      <c r="AS66" s="551" t="str">
        <f t="shared" si="13"/>
        <v/>
      </c>
      <c r="AT66" s="534" t="str">
        <f t="shared" si="25"/>
        <v>入力済</v>
      </c>
      <c r="AU66" s="534" t="str">
        <f t="shared" si="31"/>
        <v/>
      </c>
      <c r="AV66" s="534" t="str">
        <f t="shared" si="26"/>
        <v/>
      </c>
      <c r="AW66" s="551" t="str">
        <f t="shared" si="27"/>
        <v/>
      </c>
      <c r="AX66" s="551" t="str">
        <f t="shared" si="15"/>
        <v/>
      </c>
      <c r="AY66" s="534" t="str">
        <f>IFERROR(VLOOKUP(K66,【参考】数式用!$AR$5:$AS$39,2, FALSE), "")</f>
        <v/>
      </c>
      <c r="AZ66" s="551" t="str">
        <f t="shared" si="16"/>
        <v/>
      </c>
      <c r="BA66" s="555" t="str">
        <f t="shared" si="28"/>
        <v>入力済</v>
      </c>
      <c r="BB66" s="534" t="str">
        <f>IFERROR(VLOOKUP(K66,【参考】数式用!$AX$3:$AY$59, 2, FALSE), "")</f>
        <v/>
      </c>
      <c r="BC66" s="551" t="str">
        <f t="shared" si="17"/>
        <v/>
      </c>
      <c r="BD66" s="555" t="str">
        <f t="shared" si="29"/>
        <v>入力済</v>
      </c>
      <c r="BE66" s="552" t="str">
        <f t="shared" si="18"/>
        <v/>
      </c>
      <c r="BF66" s="552" t="str">
        <f t="shared" si="30"/>
        <v/>
      </c>
    </row>
    <row r="67" spans="1:58" ht="109.95" customHeight="1" thickBot="1">
      <c r="A67" s="306">
        <v>54</v>
      </c>
      <c r="B67" s="646" t="str">
        <f>IF(基本情報入力シート!B89="","",基本情報入力シート!B89)</f>
        <v/>
      </c>
      <c r="C67" s="647"/>
      <c r="D67" s="647"/>
      <c r="E67" s="647"/>
      <c r="F67" s="648"/>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53" t="str">
        <f>IF(基本情報入力シート!AF89=0, "",基本情報入力シート!AF89)</f>
        <v/>
      </c>
      <c r="M67" s="581"/>
      <c r="N67" s="517" t="str">
        <f>IFERROR(VLOOKUP(K67,【参考】数式用!$A$2:$F$57,MATCH(M67,【参考】数式用!$C$3:$F$3,0)+2,0),"")</f>
        <v/>
      </c>
      <c r="O67" s="506"/>
      <c r="P67" s="549" t="str">
        <f>IFERROR(VLOOKUP(K67,【参考】数式用!$A$2:$F$57,MATCH(O67,【参考】数式用!$C$3:$F$3,0)+2,0),"")</f>
        <v/>
      </c>
      <c r="Q67" s="313" t="s">
        <v>113</v>
      </c>
      <c r="R67" s="311"/>
      <c r="S67" s="312" t="s">
        <v>178</v>
      </c>
      <c r="T67" s="311"/>
      <c r="U67" s="312" t="s">
        <v>179</v>
      </c>
      <c r="V67" s="311"/>
      <c r="W67" s="312" t="s">
        <v>178</v>
      </c>
      <c r="X67" s="311"/>
      <c r="Y67" s="312" t="s">
        <v>180</v>
      </c>
      <c r="Z67" s="312" t="s">
        <v>181</v>
      </c>
      <c r="AA67" s="312" t="str">
        <f t="shared" si="20"/>
        <v/>
      </c>
      <c r="AB67" s="308" t="s">
        <v>182</v>
      </c>
      <c r="AC67" s="309" t="str">
        <f t="shared" si="11"/>
        <v/>
      </c>
      <c r="AD67" s="510" t="str">
        <f t="shared" si="12"/>
        <v/>
      </c>
      <c r="AE67" s="310" t="str">
        <f>IFERROR(ROUNDDOWN(ROUNDDOWN(ROUND(L67*VLOOKUP(K67,【参考】数式用!$A$4:$F$57,MATCH("処遇改善加算Ⅳ",【参考】数式用!$C$3:$F$3,0)+2,0),0),0)*AA67*0.5,0), "")</f>
        <v/>
      </c>
      <c r="AF67" s="321"/>
      <c r="AG67" s="322"/>
      <c r="AH67" s="322"/>
      <c r="AI67" s="321"/>
      <c r="AJ67" s="323"/>
      <c r="AK67" s="329"/>
      <c r="AL67" s="327" t="str">
        <f t="shared" si="21"/>
        <v/>
      </c>
      <c r="AM67" s="328" t="str">
        <f t="shared" si="19"/>
        <v/>
      </c>
      <c r="AN67" s="258"/>
      <c r="AO67" s="551" t="str">
        <f>IFERROR(VLOOKUP(K67,【参考】数式用!$A$2:$N$57,14,FALSE),"")</f>
        <v/>
      </c>
      <c r="AP67" s="551" t="str">
        <f t="shared" si="22"/>
        <v/>
      </c>
      <c r="AQ67" s="556" t="str">
        <f t="shared" si="23"/>
        <v/>
      </c>
      <c r="AR67" s="534" t="str">
        <f t="shared" si="24"/>
        <v>入力済</v>
      </c>
      <c r="AS67" s="551" t="str">
        <f t="shared" si="13"/>
        <v/>
      </c>
      <c r="AT67" s="534" t="str">
        <f t="shared" si="25"/>
        <v>入力済</v>
      </c>
      <c r="AU67" s="534" t="str">
        <f t="shared" si="31"/>
        <v/>
      </c>
      <c r="AV67" s="534" t="str">
        <f t="shared" si="26"/>
        <v/>
      </c>
      <c r="AW67" s="551" t="str">
        <f t="shared" si="27"/>
        <v/>
      </c>
      <c r="AX67" s="551" t="str">
        <f t="shared" si="15"/>
        <v/>
      </c>
      <c r="AY67" s="534" t="str">
        <f>IFERROR(VLOOKUP(K67,【参考】数式用!$AR$5:$AS$39,2, FALSE), "")</f>
        <v/>
      </c>
      <c r="AZ67" s="551" t="str">
        <f t="shared" si="16"/>
        <v/>
      </c>
      <c r="BA67" s="555" t="str">
        <f t="shared" si="28"/>
        <v>入力済</v>
      </c>
      <c r="BB67" s="534" t="str">
        <f>IFERROR(VLOOKUP(K67,【参考】数式用!$AX$3:$AY$59, 2, FALSE), "")</f>
        <v/>
      </c>
      <c r="BC67" s="551" t="str">
        <f t="shared" si="17"/>
        <v/>
      </c>
      <c r="BD67" s="555" t="str">
        <f t="shared" si="29"/>
        <v>入力済</v>
      </c>
      <c r="BE67" s="552" t="str">
        <f t="shared" si="18"/>
        <v/>
      </c>
      <c r="BF67" s="552" t="str">
        <f t="shared" si="30"/>
        <v/>
      </c>
    </row>
    <row r="68" spans="1:58" ht="109.95" customHeight="1" thickBot="1">
      <c r="A68" s="306">
        <v>55</v>
      </c>
      <c r="B68" s="646" t="str">
        <f>IF(基本情報入力シート!B90="","",基本情報入力シート!B90)</f>
        <v/>
      </c>
      <c r="C68" s="647"/>
      <c r="D68" s="647"/>
      <c r="E68" s="647"/>
      <c r="F68" s="648"/>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53" t="str">
        <f>IF(基本情報入力シート!AF90=0, "",基本情報入力シート!AF90)</f>
        <v/>
      </c>
      <c r="M68" s="581"/>
      <c r="N68" s="517" t="str">
        <f>IFERROR(VLOOKUP(K68,【参考】数式用!$A$2:$F$57,MATCH(M68,【参考】数式用!$C$3:$F$3,0)+2,0),"")</f>
        <v/>
      </c>
      <c r="O68" s="506"/>
      <c r="P68" s="549" t="str">
        <f>IFERROR(VLOOKUP(K68,【参考】数式用!$A$2:$F$57,MATCH(O68,【参考】数式用!$C$3:$F$3,0)+2,0),"")</f>
        <v/>
      </c>
      <c r="Q68" s="313" t="s">
        <v>113</v>
      </c>
      <c r="R68" s="311"/>
      <c r="S68" s="312" t="s">
        <v>178</v>
      </c>
      <c r="T68" s="311"/>
      <c r="U68" s="312" t="s">
        <v>179</v>
      </c>
      <c r="V68" s="311"/>
      <c r="W68" s="312" t="s">
        <v>178</v>
      </c>
      <c r="X68" s="311"/>
      <c r="Y68" s="312" t="s">
        <v>180</v>
      </c>
      <c r="Z68" s="312" t="s">
        <v>181</v>
      </c>
      <c r="AA68" s="312" t="str">
        <f t="shared" si="20"/>
        <v/>
      </c>
      <c r="AB68" s="308" t="s">
        <v>182</v>
      </c>
      <c r="AC68" s="309" t="str">
        <f t="shared" si="11"/>
        <v/>
      </c>
      <c r="AD68" s="510" t="str">
        <f t="shared" si="12"/>
        <v/>
      </c>
      <c r="AE68" s="310" t="str">
        <f>IFERROR(ROUNDDOWN(ROUNDDOWN(ROUND(L68*VLOOKUP(K68,【参考】数式用!$A$4:$F$57,MATCH("処遇改善加算Ⅳ",【参考】数式用!$C$3:$F$3,0)+2,0),0),0)*AA68*0.5,0), "")</f>
        <v/>
      </c>
      <c r="AF68" s="321"/>
      <c r="AG68" s="322"/>
      <c r="AH68" s="322"/>
      <c r="AI68" s="321"/>
      <c r="AJ68" s="323"/>
      <c r="AK68" s="329"/>
      <c r="AL68" s="327" t="str">
        <f t="shared" si="21"/>
        <v/>
      </c>
      <c r="AM68" s="328" t="str">
        <f t="shared" si="19"/>
        <v/>
      </c>
      <c r="AN68" s="258"/>
      <c r="AO68" s="551" t="str">
        <f>IFERROR(VLOOKUP(K68,【参考】数式用!$A$2:$N$57,14,FALSE),"")</f>
        <v/>
      </c>
      <c r="AP68" s="551" t="str">
        <f t="shared" si="22"/>
        <v/>
      </c>
      <c r="AQ68" s="556" t="str">
        <f t="shared" si="23"/>
        <v/>
      </c>
      <c r="AR68" s="534" t="str">
        <f t="shared" si="24"/>
        <v>入力済</v>
      </c>
      <c r="AS68" s="551" t="str">
        <f t="shared" si="13"/>
        <v/>
      </c>
      <c r="AT68" s="534" t="str">
        <f t="shared" si="25"/>
        <v>入力済</v>
      </c>
      <c r="AU68" s="534" t="str">
        <f t="shared" si="31"/>
        <v/>
      </c>
      <c r="AV68" s="534" t="str">
        <f t="shared" si="26"/>
        <v/>
      </c>
      <c r="AW68" s="551" t="str">
        <f t="shared" si="27"/>
        <v/>
      </c>
      <c r="AX68" s="551" t="str">
        <f t="shared" si="15"/>
        <v/>
      </c>
      <c r="AY68" s="534" t="str">
        <f>IFERROR(VLOOKUP(K68,【参考】数式用!$AR$5:$AS$39,2, FALSE), "")</f>
        <v/>
      </c>
      <c r="AZ68" s="551" t="str">
        <f t="shared" si="16"/>
        <v/>
      </c>
      <c r="BA68" s="555" t="str">
        <f t="shared" si="28"/>
        <v>入力済</v>
      </c>
      <c r="BB68" s="534" t="str">
        <f>IFERROR(VLOOKUP(K68,【参考】数式用!$AX$3:$AY$59, 2, FALSE), "")</f>
        <v/>
      </c>
      <c r="BC68" s="551" t="str">
        <f t="shared" si="17"/>
        <v/>
      </c>
      <c r="BD68" s="555" t="str">
        <f t="shared" si="29"/>
        <v>入力済</v>
      </c>
      <c r="BE68" s="552" t="str">
        <f t="shared" si="18"/>
        <v/>
      </c>
      <c r="BF68" s="552" t="str">
        <f t="shared" si="30"/>
        <v/>
      </c>
    </row>
    <row r="69" spans="1:58" ht="109.95" customHeight="1" thickBot="1">
      <c r="A69" s="306">
        <v>56</v>
      </c>
      <c r="B69" s="646" t="str">
        <f>IF(基本情報入力シート!B91="","",基本情報入力シート!B91)</f>
        <v/>
      </c>
      <c r="C69" s="647"/>
      <c r="D69" s="647"/>
      <c r="E69" s="647"/>
      <c r="F69" s="648"/>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53" t="str">
        <f>IF(基本情報入力シート!AF91=0, "",基本情報入力シート!AF91)</f>
        <v/>
      </c>
      <c r="M69" s="581"/>
      <c r="N69" s="517" t="str">
        <f>IFERROR(VLOOKUP(K69,【参考】数式用!$A$2:$F$57,MATCH(M69,【参考】数式用!$C$3:$F$3,0)+2,0),"")</f>
        <v/>
      </c>
      <c r="O69" s="506"/>
      <c r="P69" s="549" t="str">
        <f>IFERROR(VLOOKUP(K69,【参考】数式用!$A$2:$F$57,MATCH(O69,【参考】数式用!$C$3:$F$3,0)+2,0),"")</f>
        <v/>
      </c>
      <c r="Q69" s="313" t="s">
        <v>113</v>
      </c>
      <c r="R69" s="311"/>
      <c r="S69" s="312" t="s">
        <v>178</v>
      </c>
      <c r="T69" s="311"/>
      <c r="U69" s="312" t="s">
        <v>179</v>
      </c>
      <c r="V69" s="311"/>
      <c r="W69" s="312" t="s">
        <v>178</v>
      </c>
      <c r="X69" s="311"/>
      <c r="Y69" s="312" t="s">
        <v>180</v>
      </c>
      <c r="Z69" s="312" t="s">
        <v>181</v>
      </c>
      <c r="AA69" s="312" t="str">
        <f t="shared" si="20"/>
        <v/>
      </c>
      <c r="AB69" s="308" t="s">
        <v>182</v>
      </c>
      <c r="AC69" s="309" t="str">
        <f t="shared" si="11"/>
        <v/>
      </c>
      <c r="AD69" s="510" t="str">
        <f t="shared" si="12"/>
        <v/>
      </c>
      <c r="AE69" s="310" t="str">
        <f>IFERROR(ROUNDDOWN(ROUNDDOWN(ROUND(L69*VLOOKUP(K69,【参考】数式用!$A$4:$F$57,MATCH("処遇改善加算Ⅳ",【参考】数式用!$C$3:$F$3,0)+2,0),0),0)*AA69*0.5,0), "")</f>
        <v/>
      </c>
      <c r="AF69" s="321"/>
      <c r="AG69" s="322"/>
      <c r="AH69" s="322"/>
      <c r="AI69" s="321"/>
      <c r="AJ69" s="323"/>
      <c r="AK69" s="329"/>
      <c r="AL69" s="327" t="str">
        <f t="shared" si="21"/>
        <v/>
      </c>
      <c r="AM69" s="328" t="str">
        <f t="shared" si="19"/>
        <v/>
      </c>
      <c r="AN69" s="258"/>
      <c r="AO69" s="551" t="str">
        <f>IFERROR(VLOOKUP(K69,【参考】数式用!$A$2:$N$57,14,FALSE),"")</f>
        <v/>
      </c>
      <c r="AP69" s="551" t="str">
        <f t="shared" si="22"/>
        <v/>
      </c>
      <c r="AQ69" s="556" t="str">
        <f t="shared" si="23"/>
        <v/>
      </c>
      <c r="AR69" s="534" t="str">
        <f t="shared" si="24"/>
        <v>入力済</v>
      </c>
      <c r="AS69" s="551" t="str">
        <f t="shared" si="13"/>
        <v/>
      </c>
      <c r="AT69" s="534" t="str">
        <f t="shared" si="25"/>
        <v>入力済</v>
      </c>
      <c r="AU69" s="534" t="str">
        <f t="shared" si="31"/>
        <v/>
      </c>
      <c r="AV69" s="534" t="str">
        <f t="shared" si="26"/>
        <v/>
      </c>
      <c r="AW69" s="551" t="str">
        <f t="shared" si="27"/>
        <v/>
      </c>
      <c r="AX69" s="551" t="str">
        <f t="shared" si="15"/>
        <v/>
      </c>
      <c r="AY69" s="534" t="str">
        <f>IFERROR(VLOOKUP(K69,【参考】数式用!$AR$5:$AS$39,2, FALSE), "")</f>
        <v/>
      </c>
      <c r="AZ69" s="551" t="str">
        <f t="shared" si="16"/>
        <v/>
      </c>
      <c r="BA69" s="555" t="str">
        <f t="shared" si="28"/>
        <v>入力済</v>
      </c>
      <c r="BB69" s="534" t="str">
        <f>IFERROR(VLOOKUP(K69,【参考】数式用!$AX$3:$AY$59, 2, FALSE), "")</f>
        <v/>
      </c>
      <c r="BC69" s="551" t="str">
        <f t="shared" si="17"/>
        <v/>
      </c>
      <c r="BD69" s="555" t="str">
        <f t="shared" si="29"/>
        <v>入力済</v>
      </c>
      <c r="BE69" s="552" t="str">
        <f t="shared" si="18"/>
        <v/>
      </c>
      <c r="BF69" s="552" t="str">
        <f t="shared" si="30"/>
        <v/>
      </c>
    </row>
    <row r="70" spans="1:58" ht="109.95" customHeight="1" thickBot="1">
      <c r="A70" s="306">
        <v>57</v>
      </c>
      <c r="B70" s="646" t="str">
        <f>IF(基本情報入力シート!B92="","",基本情報入力シート!B92)</f>
        <v/>
      </c>
      <c r="C70" s="647"/>
      <c r="D70" s="647"/>
      <c r="E70" s="647"/>
      <c r="F70" s="648"/>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53" t="str">
        <f>IF(基本情報入力シート!AF92=0, "",基本情報入力シート!AF92)</f>
        <v/>
      </c>
      <c r="M70" s="581"/>
      <c r="N70" s="517" t="str">
        <f>IFERROR(VLOOKUP(K70,【参考】数式用!$A$2:$F$57,MATCH(M70,【参考】数式用!$C$3:$F$3,0)+2,0),"")</f>
        <v/>
      </c>
      <c r="O70" s="506"/>
      <c r="P70" s="549" t="str">
        <f>IFERROR(VLOOKUP(K70,【参考】数式用!$A$2:$F$57,MATCH(O70,【参考】数式用!$C$3:$F$3,0)+2,0),"")</f>
        <v/>
      </c>
      <c r="Q70" s="313" t="s">
        <v>113</v>
      </c>
      <c r="R70" s="311"/>
      <c r="S70" s="312" t="s">
        <v>178</v>
      </c>
      <c r="T70" s="311"/>
      <c r="U70" s="312" t="s">
        <v>179</v>
      </c>
      <c r="V70" s="311"/>
      <c r="W70" s="312" t="s">
        <v>178</v>
      </c>
      <c r="X70" s="311"/>
      <c r="Y70" s="312" t="s">
        <v>180</v>
      </c>
      <c r="Z70" s="312" t="s">
        <v>181</v>
      </c>
      <c r="AA70" s="312" t="str">
        <f t="shared" si="20"/>
        <v/>
      </c>
      <c r="AB70" s="308" t="s">
        <v>182</v>
      </c>
      <c r="AC70" s="309" t="str">
        <f t="shared" si="11"/>
        <v/>
      </c>
      <c r="AD70" s="510" t="str">
        <f t="shared" si="12"/>
        <v/>
      </c>
      <c r="AE70" s="310" t="str">
        <f>IFERROR(ROUNDDOWN(ROUNDDOWN(ROUND(L70*VLOOKUP(K70,【参考】数式用!$A$4:$F$57,MATCH("処遇改善加算Ⅳ",【参考】数式用!$C$3:$F$3,0)+2,0),0),0)*AA70*0.5,0), "")</f>
        <v/>
      </c>
      <c r="AF70" s="321"/>
      <c r="AG70" s="322"/>
      <c r="AH70" s="322"/>
      <c r="AI70" s="321"/>
      <c r="AJ70" s="323"/>
      <c r="AK70" s="329"/>
      <c r="AL70" s="327" t="str">
        <f t="shared" si="21"/>
        <v/>
      </c>
      <c r="AM70" s="328" t="str">
        <f t="shared" si="19"/>
        <v/>
      </c>
      <c r="AN70" s="258"/>
      <c r="AO70" s="551" t="str">
        <f>IFERROR(VLOOKUP(K70,【参考】数式用!$A$2:$N$57,14,FALSE),"")</f>
        <v/>
      </c>
      <c r="AP70" s="551" t="str">
        <f t="shared" si="22"/>
        <v/>
      </c>
      <c r="AQ70" s="556" t="str">
        <f t="shared" si="23"/>
        <v/>
      </c>
      <c r="AR70" s="534" t="str">
        <f t="shared" si="24"/>
        <v>入力済</v>
      </c>
      <c r="AS70" s="551" t="str">
        <f t="shared" si="13"/>
        <v/>
      </c>
      <c r="AT70" s="534" t="str">
        <f t="shared" si="25"/>
        <v>入力済</v>
      </c>
      <c r="AU70" s="534" t="str">
        <f t="shared" si="31"/>
        <v/>
      </c>
      <c r="AV70" s="534" t="str">
        <f t="shared" si="26"/>
        <v/>
      </c>
      <c r="AW70" s="551" t="str">
        <f t="shared" si="27"/>
        <v/>
      </c>
      <c r="AX70" s="551" t="str">
        <f t="shared" si="15"/>
        <v/>
      </c>
      <c r="AY70" s="534" t="str">
        <f>IFERROR(VLOOKUP(K70,【参考】数式用!$AR$5:$AS$39,2, FALSE), "")</f>
        <v/>
      </c>
      <c r="AZ70" s="551" t="str">
        <f t="shared" si="16"/>
        <v/>
      </c>
      <c r="BA70" s="555" t="str">
        <f t="shared" si="28"/>
        <v>入力済</v>
      </c>
      <c r="BB70" s="534" t="str">
        <f>IFERROR(VLOOKUP(K70,【参考】数式用!$AX$3:$AY$59, 2, FALSE), "")</f>
        <v/>
      </c>
      <c r="BC70" s="551" t="str">
        <f t="shared" si="17"/>
        <v/>
      </c>
      <c r="BD70" s="555" t="str">
        <f t="shared" si="29"/>
        <v>入力済</v>
      </c>
      <c r="BE70" s="552" t="str">
        <f t="shared" si="18"/>
        <v/>
      </c>
      <c r="BF70" s="552" t="str">
        <f t="shared" si="30"/>
        <v/>
      </c>
    </row>
    <row r="71" spans="1:58" ht="109.95" customHeight="1" thickBot="1">
      <c r="A71" s="306">
        <v>58</v>
      </c>
      <c r="B71" s="646" t="str">
        <f>IF(基本情報入力シート!B93="","",基本情報入力シート!B93)</f>
        <v/>
      </c>
      <c r="C71" s="647"/>
      <c r="D71" s="647"/>
      <c r="E71" s="647"/>
      <c r="F71" s="648"/>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53" t="str">
        <f>IF(基本情報入力シート!AF93=0, "",基本情報入力シート!AF93)</f>
        <v/>
      </c>
      <c r="M71" s="581"/>
      <c r="N71" s="517" t="str">
        <f>IFERROR(VLOOKUP(K71,【参考】数式用!$A$2:$F$57,MATCH(M71,【参考】数式用!$C$3:$F$3,0)+2,0),"")</f>
        <v/>
      </c>
      <c r="O71" s="506"/>
      <c r="P71" s="549" t="str">
        <f>IFERROR(VLOOKUP(K71,【参考】数式用!$A$2:$F$57,MATCH(O71,【参考】数式用!$C$3:$F$3,0)+2,0),"")</f>
        <v/>
      </c>
      <c r="Q71" s="313" t="s">
        <v>113</v>
      </c>
      <c r="R71" s="311"/>
      <c r="S71" s="312" t="s">
        <v>178</v>
      </c>
      <c r="T71" s="311"/>
      <c r="U71" s="312" t="s">
        <v>179</v>
      </c>
      <c r="V71" s="311"/>
      <c r="W71" s="312" t="s">
        <v>178</v>
      </c>
      <c r="X71" s="311"/>
      <c r="Y71" s="312" t="s">
        <v>180</v>
      </c>
      <c r="Z71" s="312" t="s">
        <v>181</v>
      </c>
      <c r="AA71" s="312" t="str">
        <f t="shared" si="20"/>
        <v/>
      </c>
      <c r="AB71" s="308" t="s">
        <v>182</v>
      </c>
      <c r="AC71" s="309" t="str">
        <f t="shared" si="11"/>
        <v/>
      </c>
      <c r="AD71" s="510" t="str">
        <f t="shared" si="12"/>
        <v/>
      </c>
      <c r="AE71" s="310" t="str">
        <f>IFERROR(ROUNDDOWN(ROUNDDOWN(ROUND(L71*VLOOKUP(K71,【参考】数式用!$A$4:$F$57,MATCH("処遇改善加算Ⅳ",【参考】数式用!$C$3:$F$3,0)+2,0),0),0)*AA71*0.5,0), "")</f>
        <v/>
      </c>
      <c r="AF71" s="321"/>
      <c r="AG71" s="322"/>
      <c r="AH71" s="322"/>
      <c r="AI71" s="321"/>
      <c r="AJ71" s="323"/>
      <c r="AK71" s="329"/>
      <c r="AL71" s="327" t="str">
        <f t="shared" si="21"/>
        <v/>
      </c>
      <c r="AM71" s="328" t="str">
        <f t="shared" si="19"/>
        <v/>
      </c>
      <c r="AN71" s="258"/>
      <c r="AO71" s="551" t="str">
        <f>IFERROR(VLOOKUP(K71,【参考】数式用!$A$2:$N$57,14,FALSE),"")</f>
        <v/>
      </c>
      <c r="AP71" s="551" t="str">
        <f t="shared" si="22"/>
        <v/>
      </c>
      <c r="AQ71" s="556" t="str">
        <f t="shared" si="23"/>
        <v/>
      </c>
      <c r="AR71" s="534" t="str">
        <f t="shared" si="24"/>
        <v>入力済</v>
      </c>
      <c r="AS71" s="551" t="str">
        <f t="shared" si="13"/>
        <v/>
      </c>
      <c r="AT71" s="534" t="str">
        <f t="shared" si="25"/>
        <v>入力済</v>
      </c>
      <c r="AU71" s="534" t="str">
        <f t="shared" si="31"/>
        <v/>
      </c>
      <c r="AV71" s="534" t="str">
        <f t="shared" si="26"/>
        <v/>
      </c>
      <c r="AW71" s="551" t="str">
        <f t="shared" si="27"/>
        <v/>
      </c>
      <c r="AX71" s="551" t="str">
        <f t="shared" si="15"/>
        <v/>
      </c>
      <c r="AY71" s="534" t="str">
        <f>IFERROR(VLOOKUP(K71,【参考】数式用!$AR$5:$AS$39,2, FALSE), "")</f>
        <v/>
      </c>
      <c r="AZ71" s="551" t="str">
        <f t="shared" si="16"/>
        <v/>
      </c>
      <c r="BA71" s="555" t="str">
        <f t="shared" si="28"/>
        <v>入力済</v>
      </c>
      <c r="BB71" s="534" t="str">
        <f>IFERROR(VLOOKUP(K71,【参考】数式用!$AX$3:$AY$59, 2, FALSE), "")</f>
        <v/>
      </c>
      <c r="BC71" s="551" t="str">
        <f t="shared" si="17"/>
        <v/>
      </c>
      <c r="BD71" s="555" t="str">
        <f t="shared" si="29"/>
        <v>入力済</v>
      </c>
      <c r="BE71" s="552" t="str">
        <f t="shared" si="18"/>
        <v/>
      </c>
      <c r="BF71" s="552" t="str">
        <f t="shared" si="30"/>
        <v/>
      </c>
    </row>
    <row r="72" spans="1:58" ht="109.95" customHeight="1" thickBot="1">
      <c r="A72" s="306">
        <v>59</v>
      </c>
      <c r="B72" s="646" t="str">
        <f>IF(基本情報入力シート!B94="","",基本情報入力シート!B94)</f>
        <v/>
      </c>
      <c r="C72" s="647"/>
      <c r="D72" s="647"/>
      <c r="E72" s="647"/>
      <c r="F72" s="648"/>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53" t="str">
        <f>IF(基本情報入力シート!AF94=0, "",基本情報入力シート!AF94)</f>
        <v/>
      </c>
      <c r="M72" s="581"/>
      <c r="N72" s="517" t="str">
        <f>IFERROR(VLOOKUP(K72,【参考】数式用!$A$2:$F$57,MATCH(M72,【参考】数式用!$C$3:$F$3,0)+2,0),"")</f>
        <v/>
      </c>
      <c r="O72" s="506"/>
      <c r="P72" s="549" t="str">
        <f>IFERROR(VLOOKUP(K72,【参考】数式用!$A$2:$F$57,MATCH(O72,【参考】数式用!$C$3:$F$3,0)+2,0),"")</f>
        <v/>
      </c>
      <c r="Q72" s="313" t="s">
        <v>113</v>
      </c>
      <c r="R72" s="311"/>
      <c r="S72" s="312" t="s">
        <v>178</v>
      </c>
      <c r="T72" s="311"/>
      <c r="U72" s="312" t="s">
        <v>179</v>
      </c>
      <c r="V72" s="311"/>
      <c r="W72" s="312" t="s">
        <v>178</v>
      </c>
      <c r="X72" s="311"/>
      <c r="Y72" s="312" t="s">
        <v>180</v>
      </c>
      <c r="Z72" s="312" t="s">
        <v>181</v>
      </c>
      <c r="AA72" s="312" t="str">
        <f t="shared" si="20"/>
        <v/>
      </c>
      <c r="AB72" s="308" t="s">
        <v>182</v>
      </c>
      <c r="AC72" s="309" t="str">
        <f t="shared" si="11"/>
        <v/>
      </c>
      <c r="AD72" s="510" t="str">
        <f t="shared" si="12"/>
        <v/>
      </c>
      <c r="AE72" s="310" t="str">
        <f>IFERROR(ROUNDDOWN(ROUNDDOWN(ROUND(L72*VLOOKUP(K72,【参考】数式用!$A$4:$F$57,MATCH("処遇改善加算Ⅳ",【参考】数式用!$C$3:$F$3,0)+2,0),0),0)*AA72*0.5,0), "")</f>
        <v/>
      </c>
      <c r="AF72" s="321"/>
      <c r="AG72" s="322"/>
      <c r="AH72" s="322"/>
      <c r="AI72" s="321"/>
      <c r="AJ72" s="323"/>
      <c r="AK72" s="329"/>
      <c r="AL72" s="327" t="str">
        <f t="shared" si="21"/>
        <v/>
      </c>
      <c r="AM72" s="328" t="str">
        <f t="shared" si="19"/>
        <v/>
      </c>
      <c r="AN72" s="258"/>
      <c r="AO72" s="551" t="str">
        <f>IFERROR(VLOOKUP(K72,【参考】数式用!$A$2:$N$57,14,FALSE),"")</f>
        <v/>
      </c>
      <c r="AP72" s="551" t="str">
        <f t="shared" si="22"/>
        <v/>
      </c>
      <c r="AQ72" s="556" t="str">
        <f t="shared" si="23"/>
        <v/>
      </c>
      <c r="AR72" s="534" t="str">
        <f t="shared" si="24"/>
        <v>入力済</v>
      </c>
      <c r="AS72" s="551" t="str">
        <f t="shared" si="13"/>
        <v/>
      </c>
      <c r="AT72" s="534" t="str">
        <f t="shared" si="25"/>
        <v>入力済</v>
      </c>
      <c r="AU72" s="534" t="str">
        <f t="shared" si="31"/>
        <v/>
      </c>
      <c r="AV72" s="534" t="str">
        <f t="shared" si="26"/>
        <v/>
      </c>
      <c r="AW72" s="551" t="str">
        <f t="shared" si="27"/>
        <v/>
      </c>
      <c r="AX72" s="551" t="str">
        <f t="shared" si="15"/>
        <v/>
      </c>
      <c r="AY72" s="534" t="str">
        <f>IFERROR(VLOOKUP(K72,【参考】数式用!$AR$5:$AS$39,2, FALSE), "")</f>
        <v/>
      </c>
      <c r="AZ72" s="551" t="str">
        <f t="shared" si="16"/>
        <v/>
      </c>
      <c r="BA72" s="555" t="str">
        <f t="shared" si="28"/>
        <v>入力済</v>
      </c>
      <c r="BB72" s="534" t="str">
        <f>IFERROR(VLOOKUP(K72,【参考】数式用!$AX$3:$AY$59, 2, FALSE), "")</f>
        <v/>
      </c>
      <c r="BC72" s="551" t="str">
        <f t="shared" si="17"/>
        <v/>
      </c>
      <c r="BD72" s="555" t="str">
        <f t="shared" si="29"/>
        <v>入力済</v>
      </c>
      <c r="BE72" s="552" t="str">
        <f t="shared" si="18"/>
        <v/>
      </c>
      <c r="BF72" s="552" t="str">
        <f t="shared" si="30"/>
        <v/>
      </c>
    </row>
    <row r="73" spans="1:58" ht="109.95" customHeight="1" thickBot="1">
      <c r="A73" s="306">
        <v>60</v>
      </c>
      <c r="B73" s="646" t="str">
        <f>IF(基本情報入力シート!B95="","",基本情報入力シート!B95)</f>
        <v/>
      </c>
      <c r="C73" s="647"/>
      <c r="D73" s="647"/>
      <c r="E73" s="647"/>
      <c r="F73" s="648"/>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53" t="str">
        <f>IF(基本情報入力シート!AF95=0, "",基本情報入力シート!AF95)</f>
        <v/>
      </c>
      <c r="M73" s="581"/>
      <c r="N73" s="517" t="str">
        <f>IFERROR(VLOOKUP(K73,【参考】数式用!$A$2:$F$57,MATCH(M73,【参考】数式用!$C$3:$F$3,0)+2,0),"")</f>
        <v/>
      </c>
      <c r="O73" s="506"/>
      <c r="P73" s="549" t="str">
        <f>IFERROR(VLOOKUP(K73,【参考】数式用!$A$2:$F$57,MATCH(O73,【参考】数式用!$C$3:$F$3,0)+2,0),"")</f>
        <v/>
      </c>
      <c r="Q73" s="313" t="s">
        <v>113</v>
      </c>
      <c r="R73" s="311"/>
      <c r="S73" s="312" t="s">
        <v>178</v>
      </c>
      <c r="T73" s="311"/>
      <c r="U73" s="312" t="s">
        <v>179</v>
      </c>
      <c r="V73" s="311"/>
      <c r="W73" s="312" t="s">
        <v>178</v>
      </c>
      <c r="X73" s="311"/>
      <c r="Y73" s="312" t="s">
        <v>180</v>
      </c>
      <c r="Z73" s="312" t="s">
        <v>181</v>
      </c>
      <c r="AA73" s="312" t="str">
        <f t="shared" si="20"/>
        <v/>
      </c>
      <c r="AB73" s="308" t="s">
        <v>182</v>
      </c>
      <c r="AC73" s="309" t="str">
        <f t="shared" si="11"/>
        <v/>
      </c>
      <c r="AD73" s="510" t="str">
        <f t="shared" si="12"/>
        <v/>
      </c>
      <c r="AE73" s="310" t="str">
        <f>IFERROR(ROUNDDOWN(ROUNDDOWN(ROUND(L73*VLOOKUP(K73,【参考】数式用!$A$4:$F$57,MATCH("処遇改善加算Ⅳ",【参考】数式用!$C$3:$F$3,0)+2,0),0),0)*AA73*0.5,0), "")</f>
        <v/>
      </c>
      <c r="AF73" s="321"/>
      <c r="AG73" s="322"/>
      <c r="AH73" s="322"/>
      <c r="AI73" s="321"/>
      <c r="AJ73" s="323"/>
      <c r="AK73" s="329"/>
      <c r="AL73" s="327" t="str">
        <f t="shared" si="21"/>
        <v/>
      </c>
      <c r="AM73" s="328" t="str">
        <f t="shared" si="19"/>
        <v/>
      </c>
      <c r="AN73" s="258"/>
      <c r="AO73" s="551" t="str">
        <f>IFERROR(VLOOKUP(K73,【参考】数式用!$A$2:$N$57,14,FALSE),"")</f>
        <v/>
      </c>
      <c r="AP73" s="551" t="str">
        <f t="shared" si="22"/>
        <v/>
      </c>
      <c r="AQ73" s="556" t="str">
        <f t="shared" si="23"/>
        <v/>
      </c>
      <c r="AR73" s="534" t="str">
        <f t="shared" si="24"/>
        <v>入力済</v>
      </c>
      <c r="AS73" s="551" t="str">
        <f t="shared" si="13"/>
        <v/>
      </c>
      <c r="AT73" s="534" t="str">
        <f t="shared" si="25"/>
        <v>入力済</v>
      </c>
      <c r="AU73" s="534" t="str">
        <f t="shared" si="31"/>
        <v/>
      </c>
      <c r="AV73" s="534" t="str">
        <f t="shared" si="26"/>
        <v/>
      </c>
      <c r="AW73" s="551" t="str">
        <f t="shared" si="27"/>
        <v/>
      </c>
      <c r="AX73" s="551" t="str">
        <f t="shared" si="15"/>
        <v/>
      </c>
      <c r="AY73" s="534" t="str">
        <f>IFERROR(VLOOKUP(K73,【参考】数式用!$AR$5:$AS$39,2, FALSE), "")</f>
        <v/>
      </c>
      <c r="AZ73" s="551" t="str">
        <f t="shared" si="16"/>
        <v/>
      </c>
      <c r="BA73" s="555" t="str">
        <f t="shared" si="28"/>
        <v>入力済</v>
      </c>
      <c r="BB73" s="534" t="str">
        <f>IFERROR(VLOOKUP(K73,【参考】数式用!$AX$3:$AY$59, 2, FALSE), "")</f>
        <v/>
      </c>
      <c r="BC73" s="551" t="str">
        <f t="shared" si="17"/>
        <v/>
      </c>
      <c r="BD73" s="555" t="str">
        <f t="shared" si="29"/>
        <v>入力済</v>
      </c>
      <c r="BE73" s="552" t="str">
        <f t="shared" si="18"/>
        <v/>
      </c>
      <c r="BF73" s="552" t="str">
        <f t="shared" si="30"/>
        <v/>
      </c>
    </row>
    <row r="74" spans="1:58" ht="109.95" customHeight="1" thickBot="1">
      <c r="A74" s="306">
        <v>61</v>
      </c>
      <c r="B74" s="646" t="str">
        <f>IF(基本情報入力シート!B96="","",基本情報入力シート!B96)</f>
        <v/>
      </c>
      <c r="C74" s="647"/>
      <c r="D74" s="647"/>
      <c r="E74" s="647"/>
      <c r="F74" s="648"/>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53" t="str">
        <f>IF(基本情報入力シート!AF96=0, "",基本情報入力シート!AF96)</f>
        <v/>
      </c>
      <c r="M74" s="581"/>
      <c r="N74" s="517" t="str">
        <f>IFERROR(VLOOKUP(K74,【参考】数式用!$A$2:$F$57,MATCH(M74,【参考】数式用!$C$3:$F$3,0)+2,0),"")</f>
        <v/>
      </c>
      <c r="O74" s="506"/>
      <c r="P74" s="549" t="str">
        <f>IFERROR(VLOOKUP(K74,【参考】数式用!$A$2:$F$57,MATCH(O74,【参考】数式用!$C$3:$F$3,0)+2,0),"")</f>
        <v/>
      </c>
      <c r="Q74" s="313" t="s">
        <v>113</v>
      </c>
      <c r="R74" s="311"/>
      <c r="S74" s="312" t="s">
        <v>178</v>
      </c>
      <c r="T74" s="311"/>
      <c r="U74" s="312" t="s">
        <v>179</v>
      </c>
      <c r="V74" s="311"/>
      <c r="W74" s="312" t="s">
        <v>178</v>
      </c>
      <c r="X74" s="311"/>
      <c r="Y74" s="312" t="s">
        <v>180</v>
      </c>
      <c r="Z74" s="312" t="s">
        <v>181</v>
      </c>
      <c r="AA74" s="312" t="str">
        <f t="shared" si="20"/>
        <v/>
      </c>
      <c r="AB74" s="308" t="s">
        <v>182</v>
      </c>
      <c r="AC74" s="309" t="str">
        <f t="shared" si="11"/>
        <v/>
      </c>
      <c r="AD74" s="510" t="str">
        <f t="shared" si="12"/>
        <v/>
      </c>
      <c r="AE74" s="310" t="str">
        <f>IFERROR(ROUNDDOWN(ROUNDDOWN(ROUND(L74*VLOOKUP(K74,【参考】数式用!$A$4:$F$57,MATCH("処遇改善加算Ⅳ",【参考】数式用!$C$3:$F$3,0)+2,0),0),0)*AA74*0.5,0), "")</f>
        <v/>
      </c>
      <c r="AF74" s="321"/>
      <c r="AG74" s="322"/>
      <c r="AH74" s="322"/>
      <c r="AI74" s="321"/>
      <c r="AJ74" s="323"/>
      <c r="AK74" s="329"/>
      <c r="AL74" s="327" t="str">
        <f t="shared" si="21"/>
        <v/>
      </c>
      <c r="AM74" s="328" t="str">
        <f t="shared" si="19"/>
        <v/>
      </c>
      <c r="AN74" s="258"/>
      <c r="AO74" s="551" t="str">
        <f>IFERROR(VLOOKUP(K74,【参考】数式用!$A$2:$N$57,14,FALSE),"")</f>
        <v/>
      </c>
      <c r="AP74" s="551" t="str">
        <f t="shared" si="22"/>
        <v/>
      </c>
      <c r="AQ74" s="556" t="str">
        <f t="shared" si="23"/>
        <v/>
      </c>
      <c r="AR74" s="534" t="str">
        <f t="shared" si="24"/>
        <v>入力済</v>
      </c>
      <c r="AS74" s="551" t="str">
        <f t="shared" si="13"/>
        <v/>
      </c>
      <c r="AT74" s="534" t="str">
        <f t="shared" si="25"/>
        <v>入力済</v>
      </c>
      <c r="AU74" s="534" t="str">
        <f t="shared" si="31"/>
        <v/>
      </c>
      <c r="AV74" s="534" t="str">
        <f t="shared" si="26"/>
        <v/>
      </c>
      <c r="AW74" s="551" t="str">
        <f t="shared" si="27"/>
        <v/>
      </c>
      <c r="AX74" s="551" t="str">
        <f t="shared" si="15"/>
        <v/>
      </c>
      <c r="AY74" s="534" t="str">
        <f>IFERROR(VLOOKUP(K74,【参考】数式用!$AR$5:$AS$39,2, FALSE), "")</f>
        <v/>
      </c>
      <c r="AZ74" s="551" t="str">
        <f t="shared" si="16"/>
        <v/>
      </c>
      <c r="BA74" s="555" t="str">
        <f t="shared" si="28"/>
        <v>入力済</v>
      </c>
      <c r="BB74" s="534" t="str">
        <f>IFERROR(VLOOKUP(K74,【参考】数式用!$AX$3:$AY$59, 2, FALSE), "")</f>
        <v/>
      </c>
      <c r="BC74" s="551" t="str">
        <f t="shared" si="17"/>
        <v/>
      </c>
      <c r="BD74" s="555" t="str">
        <f t="shared" si="29"/>
        <v>入力済</v>
      </c>
      <c r="BE74" s="552" t="str">
        <f t="shared" si="18"/>
        <v/>
      </c>
      <c r="BF74" s="552" t="str">
        <f t="shared" si="30"/>
        <v/>
      </c>
    </row>
    <row r="75" spans="1:58" ht="109.95" customHeight="1" thickBot="1">
      <c r="A75" s="306">
        <v>62</v>
      </c>
      <c r="B75" s="646" t="str">
        <f>IF(基本情報入力シート!B97="","",基本情報入力シート!B97)</f>
        <v/>
      </c>
      <c r="C75" s="647"/>
      <c r="D75" s="647"/>
      <c r="E75" s="647"/>
      <c r="F75" s="648"/>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53" t="str">
        <f>IF(基本情報入力シート!AF97=0, "",基本情報入力シート!AF97)</f>
        <v/>
      </c>
      <c r="M75" s="581"/>
      <c r="N75" s="517" t="str">
        <f>IFERROR(VLOOKUP(K75,【参考】数式用!$A$2:$F$57,MATCH(M75,【参考】数式用!$C$3:$F$3,0)+2,0),"")</f>
        <v/>
      </c>
      <c r="O75" s="506"/>
      <c r="P75" s="549" t="str">
        <f>IFERROR(VLOOKUP(K75,【参考】数式用!$A$2:$F$57,MATCH(O75,【参考】数式用!$C$3:$F$3,0)+2,0),"")</f>
        <v/>
      </c>
      <c r="Q75" s="313" t="s">
        <v>113</v>
      </c>
      <c r="R75" s="311"/>
      <c r="S75" s="312" t="s">
        <v>178</v>
      </c>
      <c r="T75" s="311"/>
      <c r="U75" s="312" t="s">
        <v>179</v>
      </c>
      <c r="V75" s="311"/>
      <c r="W75" s="312" t="s">
        <v>178</v>
      </c>
      <c r="X75" s="311"/>
      <c r="Y75" s="312" t="s">
        <v>180</v>
      </c>
      <c r="Z75" s="312" t="s">
        <v>181</v>
      </c>
      <c r="AA75" s="312" t="str">
        <f t="shared" si="20"/>
        <v/>
      </c>
      <c r="AB75" s="308" t="s">
        <v>182</v>
      </c>
      <c r="AC75" s="309" t="str">
        <f t="shared" si="11"/>
        <v/>
      </c>
      <c r="AD75" s="510" t="str">
        <f t="shared" si="12"/>
        <v/>
      </c>
      <c r="AE75" s="310" t="str">
        <f>IFERROR(ROUNDDOWN(ROUNDDOWN(ROUND(L75*VLOOKUP(K75,【参考】数式用!$A$4:$F$57,MATCH("処遇改善加算Ⅳ",【参考】数式用!$C$3:$F$3,0)+2,0),0),0)*AA75*0.5,0), "")</f>
        <v/>
      </c>
      <c r="AF75" s="321"/>
      <c r="AG75" s="322"/>
      <c r="AH75" s="322"/>
      <c r="AI75" s="321"/>
      <c r="AJ75" s="323"/>
      <c r="AK75" s="329"/>
      <c r="AL75" s="327" t="str">
        <f t="shared" si="21"/>
        <v/>
      </c>
      <c r="AM75" s="328" t="str">
        <f t="shared" si="19"/>
        <v/>
      </c>
      <c r="AN75" s="258"/>
      <c r="AO75" s="551" t="str">
        <f>IFERROR(VLOOKUP(K75,【参考】数式用!$A$2:$N$57,14,FALSE),"")</f>
        <v/>
      </c>
      <c r="AP75" s="551" t="str">
        <f t="shared" si="22"/>
        <v/>
      </c>
      <c r="AQ75" s="556" t="str">
        <f t="shared" si="23"/>
        <v/>
      </c>
      <c r="AR75" s="534" t="str">
        <f t="shared" si="24"/>
        <v>入力済</v>
      </c>
      <c r="AS75" s="551" t="str">
        <f t="shared" si="13"/>
        <v/>
      </c>
      <c r="AT75" s="534" t="str">
        <f t="shared" si="25"/>
        <v>入力済</v>
      </c>
      <c r="AU75" s="534" t="str">
        <f t="shared" si="31"/>
        <v/>
      </c>
      <c r="AV75" s="534" t="str">
        <f t="shared" si="26"/>
        <v/>
      </c>
      <c r="AW75" s="551" t="str">
        <f t="shared" si="27"/>
        <v/>
      </c>
      <c r="AX75" s="551" t="str">
        <f t="shared" si="15"/>
        <v/>
      </c>
      <c r="AY75" s="534" t="str">
        <f>IFERROR(VLOOKUP(K75,【参考】数式用!$AR$5:$AS$39,2, FALSE), "")</f>
        <v/>
      </c>
      <c r="AZ75" s="551" t="str">
        <f t="shared" si="16"/>
        <v/>
      </c>
      <c r="BA75" s="555" t="str">
        <f t="shared" si="28"/>
        <v>入力済</v>
      </c>
      <c r="BB75" s="534" t="str">
        <f>IFERROR(VLOOKUP(K75,【参考】数式用!$AX$3:$AY$59, 2, FALSE), "")</f>
        <v/>
      </c>
      <c r="BC75" s="551" t="str">
        <f t="shared" si="17"/>
        <v/>
      </c>
      <c r="BD75" s="555" t="str">
        <f t="shared" si="29"/>
        <v>入力済</v>
      </c>
      <c r="BE75" s="552" t="str">
        <f t="shared" si="18"/>
        <v/>
      </c>
      <c r="BF75" s="552" t="str">
        <f t="shared" si="30"/>
        <v/>
      </c>
    </row>
    <row r="76" spans="1:58" ht="109.95" customHeight="1" thickBot="1">
      <c r="A76" s="306">
        <v>63</v>
      </c>
      <c r="B76" s="646" t="str">
        <f>IF(基本情報入力シート!B98="","",基本情報入力シート!B98)</f>
        <v/>
      </c>
      <c r="C76" s="647"/>
      <c r="D76" s="647"/>
      <c r="E76" s="647"/>
      <c r="F76" s="648"/>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53" t="str">
        <f>IF(基本情報入力シート!AF98=0, "",基本情報入力シート!AF98)</f>
        <v/>
      </c>
      <c r="M76" s="581"/>
      <c r="N76" s="517" t="str">
        <f>IFERROR(VLOOKUP(K76,【参考】数式用!$A$2:$F$57,MATCH(M76,【参考】数式用!$C$3:$F$3,0)+2,0),"")</f>
        <v/>
      </c>
      <c r="O76" s="506"/>
      <c r="P76" s="549" t="str">
        <f>IFERROR(VLOOKUP(K76,【参考】数式用!$A$2:$F$57,MATCH(O76,【参考】数式用!$C$3:$F$3,0)+2,0),"")</f>
        <v/>
      </c>
      <c r="Q76" s="313" t="s">
        <v>113</v>
      </c>
      <c r="R76" s="311"/>
      <c r="S76" s="312" t="s">
        <v>178</v>
      </c>
      <c r="T76" s="311"/>
      <c r="U76" s="312" t="s">
        <v>179</v>
      </c>
      <c r="V76" s="311"/>
      <c r="W76" s="312" t="s">
        <v>178</v>
      </c>
      <c r="X76" s="311"/>
      <c r="Y76" s="312" t="s">
        <v>180</v>
      </c>
      <c r="Z76" s="312" t="s">
        <v>181</v>
      </c>
      <c r="AA76" s="312" t="str">
        <f t="shared" si="20"/>
        <v/>
      </c>
      <c r="AB76" s="308" t="s">
        <v>182</v>
      </c>
      <c r="AC76" s="309" t="str">
        <f t="shared" si="11"/>
        <v/>
      </c>
      <c r="AD76" s="510" t="str">
        <f t="shared" si="12"/>
        <v/>
      </c>
      <c r="AE76" s="310" t="str">
        <f>IFERROR(ROUNDDOWN(ROUNDDOWN(ROUND(L76*VLOOKUP(K76,【参考】数式用!$A$4:$F$57,MATCH("処遇改善加算Ⅳ",【参考】数式用!$C$3:$F$3,0)+2,0),0),0)*AA76*0.5,0), "")</f>
        <v/>
      </c>
      <c r="AF76" s="321"/>
      <c r="AG76" s="322"/>
      <c r="AH76" s="322"/>
      <c r="AI76" s="321"/>
      <c r="AJ76" s="323"/>
      <c r="AK76" s="329"/>
      <c r="AL76" s="327" t="str">
        <f t="shared" si="21"/>
        <v/>
      </c>
      <c r="AM76" s="328" t="str">
        <f t="shared" si="19"/>
        <v/>
      </c>
      <c r="AN76" s="258"/>
      <c r="AO76" s="551" t="str">
        <f>IFERROR(VLOOKUP(K76,【参考】数式用!$A$2:$N$57,14,FALSE),"")</f>
        <v/>
      </c>
      <c r="AP76" s="551" t="str">
        <f t="shared" si="22"/>
        <v/>
      </c>
      <c r="AQ76" s="556" t="str">
        <f t="shared" si="23"/>
        <v/>
      </c>
      <c r="AR76" s="534" t="str">
        <f t="shared" si="24"/>
        <v>入力済</v>
      </c>
      <c r="AS76" s="551" t="str">
        <f t="shared" si="13"/>
        <v/>
      </c>
      <c r="AT76" s="534" t="str">
        <f t="shared" si="25"/>
        <v>入力済</v>
      </c>
      <c r="AU76" s="534" t="str">
        <f t="shared" si="31"/>
        <v/>
      </c>
      <c r="AV76" s="534" t="str">
        <f t="shared" si="26"/>
        <v/>
      </c>
      <c r="AW76" s="551" t="str">
        <f t="shared" si="27"/>
        <v/>
      </c>
      <c r="AX76" s="551" t="str">
        <f t="shared" si="15"/>
        <v/>
      </c>
      <c r="AY76" s="534" t="str">
        <f>IFERROR(VLOOKUP(K76,【参考】数式用!$AR$5:$AS$39,2, FALSE), "")</f>
        <v/>
      </c>
      <c r="AZ76" s="551" t="str">
        <f t="shared" si="16"/>
        <v/>
      </c>
      <c r="BA76" s="555" t="str">
        <f t="shared" si="28"/>
        <v>入力済</v>
      </c>
      <c r="BB76" s="534" t="str">
        <f>IFERROR(VLOOKUP(K76,【参考】数式用!$AX$3:$AY$59, 2, FALSE), "")</f>
        <v/>
      </c>
      <c r="BC76" s="551" t="str">
        <f t="shared" si="17"/>
        <v/>
      </c>
      <c r="BD76" s="555" t="str">
        <f t="shared" si="29"/>
        <v>入力済</v>
      </c>
      <c r="BE76" s="552" t="str">
        <f t="shared" si="18"/>
        <v/>
      </c>
      <c r="BF76" s="552" t="str">
        <f t="shared" si="30"/>
        <v/>
      </c>
    </row>
    <row r="77" spans="1:58" ht="109.95" customHeight="1" thickBot="1">
      <c r="A77" s="306">
        <v>64</v>
      </c>
      <c r="B77" s="646" t="str">
        <f>IF(基本情報入力シート!B99="","",基本情報入力シート!B99)</f>
        <v/>
      </c>
      <c r="C77" s="647"/>
      <c r="D77" s="647"/>
      <c r="E77" s="647"/>
      <c r="F77" s="648"/>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53" t="str">
        <f>IF(基本情報入力シート!AF99=0, "",基本情報入力シート!AF99)</f>
        <v/>
      </c>
      <c r="M77" s="581"/>
      <c r="N77" s="517" t="str">
        <f>IFERROR(VLOOKUP(K77,【参考】数式用!$A$2:$F$57,MATCH(M77,【参考】数式用!$C$3:$F$3,0)+2,0),"")</f>
        <v/>
      </c>
      <c r="O77" s="506"/>
      <c r="P77" s="549" t="str">
        <f>IFERROR(VLOOKUP(K77,【参考】数式用!$A$2:$F$57,MATCH(O77,【参考】数式用!$C$3:$F$3,0)+2,0),"")</f>
        <v/>
      </c>
      <c r="Q77" s="313" t="s">
        <v>113</v>
      </c>
      <c r="R77" s="311"/>
      <c r="S77" s="312" t="s">
        <v>178</v>
      </c>
      <c r="T77" s="311"/>
      <c r="U77" s="312" t="s">
        <v>179</v>
      </c>
      <c r="V77" s="311"/>
      <c r="W77" s="312" t="s">
        <v>178</v>
      </c>
      <c r="X77" s="311"/>
      <c r="Y77" s="312" t="s">
        <v>180</v>
      </c>
      <c r="Z77" s="312" t="s">
        <v>181</v>
      </c>
      <c r="AA77" s="312" t="str">
        <f t="shared" si="20"/>
        <v/>
      </c>
      <c r="AB77" s="308" t="s">
        <v>182</v>
      </c>
      <c r="AC77" s="309" t="str">
        <f t="shared" si="11"/>
        <v/>
      </c>
      <c r="AD77" s="510" t="str">
        <f t="shared" si="12"/>
        <v/>
      </c>
      <c r="AE77" s="310" t="str">
        <f>IFERROR(ROUNDDOWN(ROUNDDOWN(ROUND(L77*VLOOKUP(K77,【参考】数式用!$A$4:$F$57,MATCH("処遇改善加算Ⅳ",【参考】数式用!$C$3:$F$3,0)+2,0),0),0)*AA77*0.5,0), "")</f>
        <v/>
      </c>
      <c r="AF77" s="321"/>
      <c r="AG77" s="322"/>
      <c r="AH77" s="322"/>
      <c r="AI77" s="321"/>
      <c r="AJ77" s="323"/>
      <c r="AK77" s="329"/>
      <c r="AL77" s="327"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8" t="str">
        <f t="shared" si="19"/>
        <v/>
      </c>
      <c r="AN77" s="258"/>
      <c r="AO77" s="551" t="str">
        <f>IFERROR(VLOOKUP(K77,【参考】数式用!$A$2:$N$57,14,FALSE),"")</f>
        <v/>
      </c>
      <c r="AP77" s="551" t="str">
        <f t="shared" ref="AP77:AP108" si="33">IF(AND(K77&lt;&gt;"",AO77="加算対象"),"N列に色付け","")</f>
        <v/>
      </c>
      <c r="AQ77" s="556" t="str">
        <f t="shared" ref="AQ77:AQ113" si="34">IF(AND(AE77&lt;&gt;0,AE77&lt;&gt;"",AO77="加算対象"),IF(AF77="○","入力済","未入力"),"")</f>
        <v/>
      </c>
      <c r="AR77" s="534" t="str">
        <f t="shared" ref="AR77:AR113" si="35">IF(AND(O77&lt;&gt;"", AG77="",AO77="加算対象"), "未入力", "入力済")</f>
        <v>入力済</v>
      </c>
      <c r="AS77" s="551" t="str">
        <f t="shared" si="13"/>
        <v/>
      </c>
      <c r="AT77" s="534" t="str">
        <f t="shared" ref="AT77:AT113" si="36">IF(AND(O77&lt;&gt;"", O77&lt;&gt;"処遇改善加算Ⅳ", AH77=""), "未入力", "入力済")</f>
        <v>入力済</v>
      </c>
      <c r="AU77" s="534" t="str">
        <f t="shared" si="31"/>
        <v/>
      </c>
      <c r="AV77" s="534" t="str">
        <f t="shared" ref="AV77:AV108" si="37">IF(AND(AO77="加算対象",O77&lt;&gt;"処遇改善加算Ⅲ",O77&lt;&gt;"処遇改善加算Ⅳ", O77&lt;&gt;"", AU77&lt;&gt;"対象外"), 1,"")</f>
        <v/>
      </c>
      <c r="AW77" s="551" t="str">
        <f t="shared" ref="AW77:AW108" si="38">IF(AND(AV77=1, OR(AI77=0,AI77=""),AO77="加算対象"),"AH列に色付け","")</f>
        <v/>
      </c>
      <c r="AX77" s="551" t="str">
        <f t="shared" si="15"/>
        <v/>
      </c>
      <c r="AY77" s="534" t="str">
        <f>IFERROR(VLOOKUP(K77,【参考】数式用!$AR$5:$AS$39,2, FALSE), "")</f>
        <v/>
      </c>
      <c r="AZ77" s="551" t="str">
        <f t="shared" si="16"/>
        <v/>
      </c>
      <c r="BA77" s="555" t="str">
        <f t="shared" ref="BA77:BA113" si="39">IF(AND(O77="処遇改善加算Ⅰ", AJ77=""), "未入力","入力済")</f>
        <v>入力済</v>
      </c>
      <c r="BB77" s="534" t="str">
        <f>IFERROR(VLOOKUP(K77,【参考】数式用!$AX$3:$AY$59, 2, FALSE), "")</f>
        <v/>
      </c>
      <c r="BC77" s="551" t="str">
        <f t="shared" si="17"/>
        <v/>
      </c>
      <c r="BD77" s="555" t="str">
        <f t="shared" ref="BD77:BD113" si="40">IF(AND(COUNTIF(AG77:AI77,"*令和８年度特例要件を*")&gt;0,AK77=""), "未入力","入力済")</f>
        <v>入力済</v>
      </c>
      <c r="BE77" s="552" t="str">
        <f t="shared" si="18"/>
        <v/>
      </c>
      <c r="BF77" s="552" t="str">
        <f t="shared" ref="BF77:BF113" si="41">G77</f>
        <v/>
      </c>
    </row>
    <row r="78" spans="1:58" ht="109.95" customHeight="1" thickBot="1">
      <c r="A78" s="306">
        <v>65</v>
      </c>
      <c r="B78" s="646" t="str">
        <f>IF(基本情報入力シート!B100="","",基本情報入力シート!B100)</f>
        <v/>
      </c>
      <c r="C78" s="647"/>
      <c r="D78" s="647"/>
      <c r="E78" s="647"/>
      <c r="F78" s="648"/>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53" t="str">
        <f>IF(基本情報入力シート!AF100=0, "",基本情報入力シート!AF100)</f>
        <v/>
      </c>
      <c r="M78" s="581"/>
      <c r="N78" s="517" t="str">
        <f>IFERROR(VLOOKUP(K78,【参考】数式用!$A$2:$F$57,MATCH(M78,【参考】数式用!$C$3:$F$3,0)+2,0),"")</f>
        <v/>
      </c>
      <c r="O78" s="506"/>
      <c r="P78" s="549" t="str">
        <f>IFERROR(VLOOKUP(K78,【参考】数式用!$A$2:$F$57,MATCH(O78,【参考】数式用!$C$3:$F$3,0)+2,0),"")</f>
        <v/>
      </c>
      <c r="Q78" s="313" t="s">
        <v>113</v>
      </c>
      <c r="R78" s="311"/>
      <c r="S78" s="312" t="s">
        <v>178</v>
      </c>
      <c r="T78" s="311"/>
      <c r="U78" s="312" t="s">
        <v>179</v>
      </c>
      <c r="V78" s="311"/>
      <c r="W78" s="312" t="s">
        <v>178</v>
      </c>
      <c r="X78" s="311"/>
      <c r="Y78" s="312" t="s">
        <v>180</v>
      </c>
      <c r="Z78" s="312" t="s">
        <v>181</v>
      </c>
      <c r="AA78" s="312" t="str">
        <f t="shared" si="20"/>
        <v/>
      </c>
      <c r="AB78" s="308" t="s">
        <v>182</v>
      </c>
      <c r="AC78" s="309" t="str">
        <f t="shared" ref="AC78:AC113" si="42">IFERROR(ROUNDDOWN(ROUND(L78*P78,0),0)*AA78,"")</f>
        <v/>
      </c>
      <c r="AD78" s="510" t="str">
        <f t="shared" ref="AD78:AD113" si="43">IFERROR(ROUNDDOWN(ROUND(L78*(P78-N78),0),0)*AA78,"")</f>
        <v/>
      </c>
      <c r="AE78" s="310" t="str">
        <f>IFERROR(ROUNDDOWN(ROUNDDOWN(ROUND(L78*VLOOKUP(K78,【参考】数式用!$A$4:$F$57,MATCH("処遇改善加算Ⅳ",【参考】数式用!$C$3:$F$3,0)+2,0),0),0)*AA78*0.5,0), "")</f>
        <v/>
      </c>
      <c r="AF78" s="321"/>
      <c r="AG78" s="322"/>
      <c r="AH78" s="322"/>
      <c r="AI78" s="321"/>
      <c r="AJ78" s="323"/>
      <c r="AK78" s="329"/>
      <c r="AL78" s="327" t="str">
        <f t="shared" si="32"/>
        <v/>
      </c>
      <c r="AM78" s="328" t="str">
        <f t="shared" si="19"/>
        <v/>
      </c>
      <c r="AN78" s="258"/>
      <c r="AO78" s="551" t="str">
        <f>IFERROR(VLOOKUP(K78,【参考】数式用!$A$2:$N$57,14,FALSE),"")</f>
        <v/>
      </c>
      <c r="AP78" s="551" t="str">
        <f t="shared" si="33"/>
        <v/>
      </c>
      <c r="AQ78" s="556" t="str">
        <f t="shared" si="34"/>
        <v/>
      </c>
      <c r="AR78" s="534" t="str">
        <f t="shared" si="35"/>
        <v>入力済</v>
      </c>
      <c r="AS78" s="551" t="str">
        <f t="shared" ref="AS78:AS113" si="44">IF(AND(O78&lt;&gt;"", O78&lt;&gt;"処遇改善加算Ⅳ",AO78="加算対象"),"AH列に色付け","")</f>
        <v/>
      </c>
      <c r="AT78" s="534" t="str">
        <f t="shared" si="36"/>
        <v>入力済</v>
      </c>
      <c r="AU78" s="534" t="str">
        <f t="shared" ref="AU78:AU113" si="45">IF(OR(O78="処遇改善加算Ⅰ",O78="処遇改善加算Ⅱ"),"対象","")</f>
        <v/>
      </c>
      <c r="AV78" s="534" t="str">
        <f t="shared" si="37"/>
        <v/>
      </c>
      <c r="AW78" s="551" t="str">
        <f t="shared" si="38"/>
        <v/>
      </c>
      <c r="AX78" s="551" t="str">
        <f t="shared" ref="AX78:AX113" si="46">IF(AND(O78&lt;&gt;"", O78&lt;&gt;"処遇改善加算Ⅲ", O78&lt;&gt;"処遇改善加算Ⅳ",O78&lt;&gt;"処遇改善加算"), "対象", "")</f>
        <v/>
      </c>
      <c r="AY78" s="534" t="str">
        <f>IFERROR(VLOOKUP(K78,【参考】数式用!$AR$5:$AS$39,2, FALSE), "")</f>
        <v/>
      </c>
      <c r="AZ78" s="551" t="str">
        <f t="shared" ref="AZ78:AZ113" si="47">IF(AND(AO78="加算対象",O78="処遇改善加算Ⅰ"),"AJ列に色付け","")</f>
        <v/>
      </c>
      <c r="BA78" s="555" t="str">
        <f t="shared" si="39"/>
        <v>入力済</v>
      </c>
      <c r="BB78" s="534" t="str">
        <f>IFERROR(VLOOKUP(K78,【参考】数式用!$AX$3:$AY$59, 2, FALSE), "")</f>
        <v/>
      </c>
      <c r="BC78" s="551" t="str">
        <f t="shared" ref="BC78:BC113" si="48">IF(COUNTIF(AG78:AI78,"*令和８年度特例要件を*")&gt;0,"AK列に色付け","")</f>
        <v/>
      </c>
      <c r="BD78" s="555" t="str">
        <f t="shared" si="40"/>
        <v>入力済</v>
      </c>
      <c r="BE78" s="552" t="str">
        <f t="shared" ref="BE78:BE113" si="49">IF(BC78="AK列に色付け","入力必要","")</f>
        <v/>
      </c>
      <c r="BF78" s="552" t="str">
        <f t="shared" si="41"/>
        <v/>
      </c>
    </row>
    <row r="79" spans="1:58" ht="109.95" customHeight="1" thickBot="1">
      <c r="A79" s="306">
        <v>66</v>
      </c>
      <c r="B79" s="646" t="str">
        <f>IF(基本情報入力シート!B101="","",基本情報入力シート!B101)</f>
        <v/>
      </c>
      <c r="C79" s="647"/>
      <c r="D79" s="647"/>
      <c r="E79" s="647"/>
      <c r="F79" s="648"/>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53" t="str">
        <f>IF(基本情報入力シート!AF101=0, "",基本情報入力シート!AF101)</f>
        <v/>
      </c>
      <c r="M79" s="581"/>
      <c r="N79" s="517" t="str">
        <f>IFERROR(VLOOKUP(K79,【参考】数式用!$A$2:$F$57,MATCH(M79,【参考】数式用!$C$3:$F$3,0)+2,0),"")</f>
        <v/>
      </c>
      <c r="O79" s="506"/>
      <c r="P79" s="549" t="str">
        <f>IFERROR(VLOOKUP(K79,【参考】数式用!$A$2:$F$57,MATCH(O79,【参考】数式用!$C$3:$F$3,0)+2,0),"")</f>
        <v/>
      </c>
      <c r="Q79" s="313" t="s">
        <v>113</v>
      </c>
      <c r="R79" s="311"/>
      <c r="S79" s="312" t="s">
        <v>178</v>
      </c>
      <c r="T79" s="311"/>
      <c r="U79" s="312" t="s">
        <v>179</v>
      </c>
      <c r="V79" s="311"/>
      <c r="W79" s="312" t="s">
        <v>178</v>
      </c>
      <c r="X79" s="311"/>
      <c r="Y79" s="312" t="s">
        <v>180</v>
      </c>
      <c r="Z79" s="312" t="s">
        <v>181</v>
      </c>
      <c r="AA79" s="312" t="str">
        <f t="shared" si="20"/>
        <v/>
      </c>
      <c r="AB79" s="308" t="s">
        <v>182</v>
      </c>
      <c r="AC79" s="309" t="str">
        <f t="shared" si="42"/>
        <v/>
      </c>
      <c r="AD79" s="510" t="str">
        <f t="shared" si="43"/>
        <v/>
      </c>
      <c r="AE79" s="310" t="str">
        <f>IFERROR(ROUNDDOWN(ROUNDDOWN(ROUND(L79*VLOOKUP(K79,【参考】数式用!$A$4:$F$57,MATCH("処遇改善加算Ⅳ",【参考】数式用!$C$3:$F$3,0)+2,0),0),0)*AA79*0.5,0), "")</f>
        <v/>
      </c>
      <c r="AF79" s="321"/>
      <c r="AG79" s="322"/>
      <c r="AH79" s="322"/>
      <c r="AI79" s="321"/>
      <c r="AJ79" s="323"/>
      <c r="AK79" s="329"/>
      <c r="AL79" s="327" t="str">
        <f t="shared" si="32"/>
        <v/>
      </c>
      <c r="AM79" s="328"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8"/>
      <c r="AO79" s="551" t="str">
        <f>IFERROR(VLOOKUP(K79,【参考】数式用!$A$2:$N$57,14,FALSE),"")</f>
        <v/>
      </c>
      <c r="AP79" s="551" t="str">
        <f t="shared" si="33"/>
        <v/>
      </c>
      <c r="AQ79" s="556" t="str">
        <f t="shared" si="34"/>
        <v/>
      </c>
      <c r="AR79" s="534" t="str">
        <f t="shared" si="35"/>
        <v>入力済</v>
      </c>
      <c r="AS79" s="551" t="str">
        <f t="shared" si="44"/>
        <v/>
      </c>
      <c r="AT79" s="534" t="str">
        <f t="shared" si="36"/>
        <v>入力済</v>
      </c>
      <c r="AU79" s="534" t="str">
        <f t="shared" si="45"/>
        <v/>
      </c>
      <c r="AV79" s="534" t="str">
        <f t="shared" si="37"/>
        <v/>
      </c>
      <c r="AW79" s="551" t="str">
        <f t="shared" si="38"/>
        <v/>
      </c>
      <c r="AX79" s="551" t="str">
        <f t="shared" si="46"/>
        <v/>
      </c>
      <c r="AY79" s="534" t="str">
        <f>IFERROR(VLOOKUP(K79,【参考】数式用!$AR$5:$AS$39,2, FALSE), "")</f>
        <v/>
      </c>
      <c r="AZ79" s="551" t="str">
        <f t="shared" si="47"/>
        <v/>
      </c>
      <c r="BA79" s="555" t="str">
        <f t="shared" si="39"/>
        <v>入力済</v>
      </c>
      <c r="BB79" s="534" t="str">
        <f>IFERROR(VLOOKUP(K79,【参考】数式用!$AX$3:$AY$59, 2, FALSE), "")</f>
        <v/>
      </c>
      <c r="BC79" s="551" t="str">
        <f t="shared" si="48"/>
        <v/>
      </c>
      <c r="BD79" s="555" t="str">
        <f t="shared" si="40"/>
        <v>入力済</v>
      </c>
      <c r="BE79" s="552" t="str">
        <f t="shared" si="49"/>
        <v/>
      </c>
      <c r="BF79" s="552" t="str">
        <f t="shared" si="41"/>
        <v/>
      </c>
    </row>
    <row r="80" spans="1:58" ht="109.95" customHeight="1" thickBot="1">
      <c r="A80" s="306">
        <v>67</v>
      </c>
      <c r="B80" s="646" t="str">
        <f>IF(基本情報入力シート!B102="","",基本情報入力シート!B102)</f>
        <v/>
      </c>
      <c r="C80" s="647"/>
      <c r="D80" s="647"/>
      <c r="E80" s="647"/>
      <c r="F80" s="648"/>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53" t="str">
        <f>IF(基本情報入力シート!AF102=0, "",基本情報入力シート!AF102)</f>
        <v/>
      </c>
      <c r="M80" s="581"/>
      <c r="N80" s="517" t="str">
        <f>IFERROR(VLOOKUP(K80,【参考】数式用!$A$2:$F$57,MATCH(M80,【参考】数式用!$C$3:$F$3,0)+2,0),"")</f>
        <v/>
      </c>
      <c r="O80" s="506"/>
      <c r="P80" s="549" t="str">
        <f>IFERROR(VLOOKUP(K80,【参考】数式用!$A$2:$F$57,MATCH(O80,【参考】数式用!$C$3:$F$3,0)+2,0),"")</f>
        <v/>
      </c>
      <c r="Q80" s="313" t="s">
        <v>113</v>
      </c>
      <c r="R80" s="311"/>
      <c r="S80" s="312" t="s">
        <v>178</v>
      </c>
      <c r="T80" s="311"/>
      <c r="U80" s="312" t="s">
        <v>179</v>
      </c>
      <c r="V80" s="311"/>
      <c r="W80" s="312" t="s">
        <v>178</v>
      </c>
      <c r="X80" s="311"/>
      <c r="Y80" s="312" t="s">
        <v>180</v>
      </c>
      <c r="Z80" s="312" t="s">
        <v>181</v>
      </c>
      <c r="AA80" s="312" t="str">
        <f t="shared" si="20"/>
        <v/>
      </c>
      <c r="AB80" s="308" t="s">
        <v>182</v>
      </c>
      <c r="AC80" s="309" t="str">
        <f t="shared" si="42"/>
        <v/>
      </c>
      <c r="AD80" s="510" t="str">
        <f t="shared" si="43"/>
        <v/>
      </c>
      <c r="AE80" s="310" t="str">
        <f>IFERROR(ROUNDDOWN(ROUNDDOWN(ROUND(L80*VLOOKUP(K80,【参考】数式用!$A$4:$F$57,MATCH("処遇改善加算Ⅳ",【参考】数式用!$C$3:$F$3,0)+2,0),0),0)*AA80*0.5,0), "")</f>
        <v/>
      </c>
      <c r="AF80" s="321"/>
      <c r="AG80" s="322"/>
      <c r="AH80" s="322"/>
      <c r="AI80" s="321"/>
      <c r="AJ80" s="323"/>
      <c r="AK80" s="329"/>
      <c r="AL80" s="327" t="str">
        <f t="shared" si="32"/>
        <v/>
      </c>
      <c r="AM80" s="328" t="str">
        <f t="shared" si="50"/>
        <v/>
      </c>
      <c r="AN80" s="258"/>
      <c r="AO80" s="551" t="str">
        <f>IFERROR(VLOOKUP(K80,【参考】数式用!$A$2:$N$57,14,FALSE),"")</f>
        <v/>
      </c>
      <c r="AP80" s="551" t="str">
        <f t="shared" si="33"/>
        <v/>
      </c>
      <c r="AQ80" s="556" t="str">
        <f t="shared" si="34"/>
        <v/>
      </c>
      <c r="AR80" s="534" t="str">
        <f t="shared" si="35"/>
        <v>入力済</v>
      </c>
      <c r="AS80" s="551" t="str">
        <f t="shared" si="44"/>
        <v/>
      </c>
      <c r="AT80" s="534" t="str">
        <f t="shared" si="36"/>
        <v>入力済</v>
      </c>
      <c r="AU80" s="534" t="str">
        <f t="shared" si="45"/>
        <v/>
      </c>
      <c r="AV80" s="534" t="str">
        <f t="shared" si="37"/>
        <v/>
      </c>
      <c r="AW80" s="551" t="str">
        <f t="shared" si="38"/>
        <v/>
      </c>
      <c r="AX80" s="551" t="str">
        <f t="shared" si="46"/>
        <v/>
      </c>
      <c r="AY80" s="534" t="str">
        <f>IFERROR(VLOOKUP(K80,【参考】数式用!$AR$5:$AS$39,2, FALSE), "")</f>
        <v/>
      </c>
      <c r="AZ80" s="551" t="str">
        <f t="shared" si="47"/>
        <v/>
      </c>
      <c r="BA80" s="555" t="str">
        <f t="shared" si="39"/>
        <v>入力済</v>
      </c>
      <c r="BB80" s="534" t="str">
        <f>IFERROR(VLOOKUP(K80,【参考】数式用!$AX$3:$AY$59, 2, FALSE), "")</f>
        <v/>
      </c>
      <c r="BC80" s="551" t="str">
        <f t="shared" si="48"/>
        <v/>
      </c>
      <c r="BD80" s="555" t="str">
        <f t="shared" si="40"/>
        <v>入力済</v>
      </c>
      <c r="BE80" s="552" t="str">
        <f t="shared" si="49"/>
        <v/>
      </c>
      <c r="BF80" s="552" t="str">
        <f t="shared" si="41"/>
        <v/>
      </c>
    </row>
    <row r="81" spans="1:58" ht="109.95" customHeight="1" thickBot="1">
      <c r="A81" s="306">
        <v>68</v>
      </c>
      <c r="B81" s="646" t="str">
        <f>IF(基本情報入力シート!B103="","",基本情報入力シート!B103)</f>
        <v/>
      </c>
      <c r="C81" s="647"/>
      <c r="D81" s="647"/>
      <c r="E81" s="647"/>
      <c r="F81" s="648"/>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53" t="str">
        <f>IF(基本情報入力シート!AF103=0, "",基本情報入力シート!AF103)</f>
        <v/>
      </c>
      <c r="M81" s="581"/>
      <c r="N81" s="517" t="str">
        <f>IFERROR(VLOOKUP(K81,【参考】数式用!$A$2:$F$57,MATCH(M81,【参考】数式用!$C$3:$F$3,0)+2,0),"")</f>
        <v/>
      </c>
      <c r="O81" s="506"/>
      <c r="P81" s="549" t="str">
        <f>IFERROR(VLOOKUP(K81,【参考】数式用!$A$2:$F$57,MATCH(O81,【参考】数式用!$C$3:$F$3,0)+2,0),"")</f>
        <v/>
      </c>
      <c r="Q81" s="313" t="s">
        <v>113</v>
      </c>
      <c r="R81" s="311"/>
      <c r="S81" s="312" t="s">
        <v>178</v>
      </c>
      <c r="T81" s="311"/>
      <c r="U81" s="312" t="s">
        <v>179</v>
      </c>
      <c r="V81" s="311"/>
      <c r="W81" s="312" t="s">
        <v>178</v>
      </c>
      <c r="X81" s="311"/>
      <c r="Y81" s="312" t="s">
        <v>180</v>
      </c>
      <c r="Z81" s="312" t="s">
        <v>181</v>
      </c>
      <c r="AA81" s="312" t="str">
        <f t="shared" si="20"/>
        <v/>
      </c>
      <c r="AB81" s="308" t="s">
        <v>182</v>
      </c>
      <c r="AC81" s="309" t="str">
        <f t="shared" si="42"/>
        <v/>
      </c>
      <c r="AD81" s="510" t="str">
        <f t="shared" si="43"/>
        <v/>
      </c>
      <c r="AE81" s="310" t="str">
        <f>IFERROR(ROUNDDOWN(ROUNDDOWN(ROUND(L81*VLOOKUP(K81,【参考】数式用!$A$4:$F$57,MATCH("処遇改善加算Ⅳ",【参考】数式用!$C$3:$F$3,0)+2,0),0),0)*AA81*0.5,0), "")</f>
        <v/>
      </c>
      <c r="AF81" s="321"/>
      <c r="AG81" s="322"/>
      <c r="AH81" s="322"/>
      <c r="AI81" s="321"/>
      <c r="AJ81" s="323"/>
      <c r="AK81" s="329"/>
      <c r="AL81" s="327" t="str">
        <f t="shared" si="32"/>
        <v/>
      </c>
      <c r="AM81" s="328" t="str">
        <f t="shared" si="50"/>
        <v/>
      </c>
      <c r="AN81" s="258"/>
      <c r="AO81" s="551" t="str">
        <f>IFERROR(VLOOKUP(K81,【参考】数式用!$A$2:$N$57,14,FALSE),"")</f>
        <v/>
      </c>
      <c r="AP81" s="551" t="str">
        <f t="shared" si="33"/>
        <v/>
      </c>
      <c r="AQ81" s="556" t="str">
        <f t="shared" si="34"/>
        <v/>
      </c>
      <c r="AR81" s="534" t="str">
        <f t="shared" si="35"/>
        <v>入力済</v>
      </c>
      <c r="AS81" s="551" t="str">
        <f t="shared" si="44"/>
        <v/>
      </c>
      <c r="AT81" s="534" t="str">
        <f t="shared" si="36"/>
        <v>入力済</v>
      </c>
      <c r="AU81" s="534" t="str">
        <f t="shared" si="45"/>
        <v/>
      </c>
      <c r="AV81" s="534" t="str">
        <f t="shared" si="37"/>
        <v/>
      </c>
      <c r="AW81" s="551" t="str">
        <f t="shared" si="38"/>
        <v/>
      </c>
      <c r="AX81" s="551" t="str">
        <f t="shared" si="46"/>
        <v/>
      </c>
      <c r="AY81" s="534" t="str">
        <f>IFERROR(VLOOKUP(K81,【参考】数式用!$AR$5:$AS$39,2, FALSE), "")</f>
        <v/>
      </c>
      <c r="AZ81" s="551" t="str">
        <f t="shared" si="47"/>
        <v/>
      </c>
      <c r="BA81" s="555" t="str">
        <f t="shared" si="39"/>
        <v>入力済</v>
      </c>
      <c r="BB81" s="534" t="str">
        <f>IFERROR(VLOOKUP(K81,【参考】数式用!$AX$3:$AY$59, 2, FALSE), "")</f>
        <v/>
      </c>
      <c r="BC81" s="551" t="str">
        <f t="shared" si="48"/>
        <v/>
      </c>
      <c r="BD81" s="555" t="str">
        <f t="shared" si="40"/>
        <v>入力済</v>
      </c>
      <c r="BE81" s="552" t="str">
        <f t="shared" si="49"/>
        <v/>
      </c>
      <c r="BF81" s="552" t="str">
        <f t="shared" si="41"/>
        <v/>
      </c>
    </row>
    <row r="82" spans="1:58" ht="109.95" customHeight="1" thickBot="1">
      <c r="A82" s="306">
        <v>69</v>
      </c>
      <c r="B82" s="646" t="str">
        <f>IF(基本情報入力シート!B104="","",基本情報入力シート!B104)</f>
        <v/>
      </c>
      <c r="C82" s="647"/>
      <c r="D82" s="647"/>
      <c r="E82" s="647"/>
      <c r="F82" s="648"/>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53" t="str">
        <f>IF(基本情報入力シート!AF104=0, "",基本情報入力シート!AF104)</f>
        <v/>
      </c>
      <c r="M82" s="581"/>
      <c r="N82" s="517" t="str">
        <f>IFERROR(VLOOKUP(K82,【参考】数式用!$A$2:$F$57,MATCH(M82,【参考】数式用!$C$3:$F$3,0)+2,0),"")</f>
        <v/>
      </c>
      <c r="O82" s="506"/>
      <c r="P82" s="549" t="str">
        <f>IFERROR(VLOOKUP(K82,【参考】数式用!$A$2:$F$57,MATCH(O82,【参考】数式用!$C$3:$F$3,0)+2,0),"")</f>
        <v/>
      </c>
      <c r="Q82" s="313" t="s">
        <v>113</v>
      </c>
      <c r="R82" s="311"/>
      <c r="S82" s="312" t="s">
        <v>178</v>
      </c>
      <c r="T82" s="311"/>
      <c r="U82" s="312" t="s">
        <v>179</v>
      </c>
      <c r="V82" s="311"/>
      <c r="W82" s="312" t="s">
        <v>178</v>
      </c>
      <c r="X82" s="311"/>
      <c r="Y82" s="312" t="s">
        <v>180</v>
      </c>
      <c r="Z82" s="312" t="s">
        <v>181</v>
      </c>
      <c r="AA82" s="312" t="str">
        <f t="shared" si="20"/>
        <v/>
      </c>
      <c r="AB82" s="308" t="s">
        <v>182</v>
      </c>
      <c r="AC82" s="309" t="str">
        <f t="shared" si="42"/>
        <v/>
      </c>
      <c r="AD82" s="510" t="str">
        <f t="shared" si="43"/>
        <v/>
      </c>
      <c r="AE82" s="310" t="str">
        <f>IFERROR(ROUNDDOWN(ROUNDDOWN(ROUND(L82*VLOOKUP(K82,【参考】数式用!$A$4:$F$57,MATCH("処遇改善加算Ⅳ",【参考】数式用!$C$3:$F$3,0)+2,0),0),0)*AA82*0.5,0), "")</f>
        <v/>
      </c>
      <c r="AF82" s="321"/>
      <c r="AG82" s="322"/>
      <c r="AH82" s="322"/>
      <c r="AI82" s="321"/>
      <c r="AJ82" s="323"/>
      <c r="AK82" s="329"/>
      <c r="AL82" s="327" t="str">
        <f t="shared" si="32"/>
        <v/>
      </c>
      <c r="AM82" s="328" t="str">
        <f t="shared" si="50"/>
        <v/>
      </c>
      <c r="AN82" s="258"/>
      <c r="AO82" s="551" t="str">
        <f>IFERROR(VLOOKUP(K82,【参考】数式用!$A$2:$N$57,14,FALSE),"")</f>
        <v/>
      </c>
      <c r="AP82" s="551" t="str">
        <f t="shared" si="33"/>
        <v/>
      </c>
      <c r="AQ82" s="556" t="str">
        <f t="shared" si="34"/>
        <v/>
      </c>
      <c r="AR82" s="534" t="str">
        <f t="shared" si="35"/>
        <v>入力済</v>
      </c>
      <c r="AS82" s="551" t="str">
        <f t="shared" si="44"/>
        <v/>
      </c>
      <c r="AT82" s="534" t="str">
        <f t="shared" si="36"/>
        <v>入力済</v>
      </c>
      <c r="AU82" s="534" t="str">
        <f t="shared" si="45"/>
        <v/>
      </c>
      <c r="AV82" s="534" t="str">
        <f t="shared" si="37"/>
        <v/>
      </c>
      <c r="AW82" s="551" t="str">
        <f t="shared" si="38"/>
        <v/>
      </c>
      <c r="AX82" s="551" t="str">
        <f t="shared" si="46"/>
        <v/>
      </c>
      <c r="AY82" s="534" t="str">
        <f>IFERROR(VLOOKUP(K82,【参考】数式用!$AR$5:$AS$39,2, FALSE), "")</f>
        <v/>
      </c>
      <c r="AZ82" s="551" t="str">
        <f t="shared" si="47"/>
        <v/>
      </c>
      <c r="BA82" s="555" t="str">
        <f t="shared" si="39"/>
        <v>入力済</v>
      </c>
      <c r="BB82" s="534" t="str">
        <f>IFERROR(VLOOKUP(K82,【参考】数式用!$AX$3:$AY$59, 2, FALSE), "")</f>
        <v/>
      </c>
      <c r="BC82" s="551" t="str">
        <f t="shared" si="48"/>
        <v/>
      </c>
      <c r="BD82" s="555" t="str">
        <f t="shared" si="40"/>
        <v>入力済</v>
      </c>
      <c r="BE82" s="552" t="str">
        <f t="shared" si="49"/>
        <v/>
      </c>
      <c r="BF82" s="552" t="str">
        <f t="shared" si="41"/>
        <v/>
      </c>
    </row>
    <row r="83" spans="1:58" ht="109.95" customHeight="1" thickBot="1">
      <c r="A83" s="306">
        <v>70</v>
      </c>
      <c r="B83" s="646" t="str">
        <f>IF(基本情報入力シート!B105="","",基本情報入力シート!B105)</f>
        <v/>
      </c>
      <c r="C83" s="647"/>
      <c r="D83" s="647"/>
      <c r="E83" s="647"/>
      <c r="F83" s="648"/>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53" t="str">
        <f>IF(基本情報入力シート!AF105=0, "",基本情報入力シート!AF105)</f>
        <v/>
      </c>
      <c r="M83" s="581"/>
      <c r="N83" s="517" t="str">
        <f>IFERROR(VLOOKUP(K83,【参考】数式用!$A$2:$F$57,MATCH(M83,【参考】数式用!$C$3:$F$3,0)+2,0),"")</f>
        <v/>
      </c>
      <c r="O83" s="506"/>
      <c r="P83" s="549" t="str">
        <f>IFERROR(VLOOKUP(K83,【参考】数式用!$A$2:$F$57,MATCH(O83,【参考】数式用!$C$3:$F$3,0)+2,0),"")</f>
        <v/>
      </c>
      <c r="Q83" s="313" t="s">
        <v>113</v>
      </c>
      <c r="R83" s="311"/>
      <c r="S83" s="312" t="s">
        <v>178</v>
      </c>
      <c r="T83" s="311"/>
      <c r="U83" s="312" t="s">
        <v>179</v>
      </c>
      <c r="V83" s="311"/>
      <c r="W83" s="312" t="s">
        <v>178</v>
      </c>
      <c r="X83" s="311"/>
      <c r="Y83" s="312" t="s">
        <v>180</v>
      </c>
      <c r="Z83" s="312" t="s">
        <v>181</v>
      </c>
      <c r="AA83" s="312" t="str">
        <f t="shared" si="20"/>
        <v/>
      </c>
      <c r="AB83" s="308" t="s">
        <v>182</v>
      </c>
      <c r="AC83" s="309" t="str">
        <f t="shared" si="42"/>
        <v/>
      </c>
      <c r="AD83" s="510" t="str">
        <f t="shared" si="43"/>
        <v/>
      </c>
      <c r="AE83" s="310" t="str">
        <f>IFERROR(ROUNDDOWN(ROUNDDOWN(ROUND(L83*VLOOKUP(K83,【参考】数式用!$A$4:$F$57,MATCH("処遇改善加算Ⅳ",【参考】数式用!$C$3:$F$3,0)+2,0),0),0)*AA83*0.5,0), "")</f>
        <v/>
      </c>
      <c r="AF83" s="321"/>
      <c r="AG83" s="322"/>
      <c r="AH83" s="322"/>
      <c r="AI83" s="321"/>
      <c r="AJ83" s="323"/>
      <c r="AK83" s="329"/>
      <c r="AL83" s="327" t="str">
        <f t="shared" si="32"/>
        <v/>
      </c>
      <c r="AM83" s="328" t="str">
        <f t="shared" si="50"/>
        <v/>
      </c>
      <c r="AN83" s="258"/>
      <c r="AO83" s="551" t="str">
        <f>IFERROR(VLOOKUP(K83,【参考】数式用!$A$2:$N$57,14,FALSE),"")</f>
        <v/>
      </c>
      <c r="AP83" s="551" t="str">
        <f t="shared" si="33"/>
        <v/>
      </c>
      <c r="AQ83" s="556" t="str">
        <f t="shared" si="34"/>
        <v/>
      </c>
      <c r="AR83" s="534" t="str">
        <f t="shared" si="35"/>
        <v>入力済</v>
      </c>
      <c r="AS83" s="551" t="str">
        <f t="shared" si="44"/>
        <v/>
      </c>
      <c r="AT83" s="534" t="str">
        <f t="shared" si="36"/>
        <v>入力済</v>
      </c>
      <c r="AU83" s="534" t="str">
        <f t="shared" si="45"/>
        <v/>
      </c>
      <c r="AV83" s="534" t="str">
        <f t="shared" si="37"/>
        <v/>
      </c>
      <c r="AW83" s="551" t="str">
        <f t="shared" si="38"/>
        <v/>
      </c>
      <c r="AX83" s="551" t="str">
        <f t="shared" si="46"/>
        <v/>
      </c>
      <c r="AY83" s="534" t="str">
        <f>IFERROR(VLOOKUP(K83,【参考】数式用!$AR$5:$AS$39,2, FALSE), "")</f>
        <v/>
      </c>
      <c r="AZ83" s="551" t="str">
        <f t="shared" si="47"/>
        <v/>
      </c>
      <c r="BA83" s="555" t="str">
        <f t="shared" si="39"/>
        <v>入力済</v>
      </c>
      <c r="BB83" s="534" t="str">
        <f>IFERROR(VLOOKUP(K83,【参考】数式用!$AX$3:$AY$59, 2, FALSE), "")</f>
        <v/>
      </c>
      <c r="BC83" s="551" t="str">
        <f t="shared" si="48"/>
        <v/>
      </c>
      <c r="BD83" s="555" t="str">
        <f t="shared" si="40"/>
        <v>入力済</v>
      </c>
      <c r="BE83" s="552" t="str">
        <f t="shared" si="49"/>
        <v/>
      </c>
      <c r="BF83" s="552" t="str">
        <f t="shared" si="41"/>
        <v/>
      </c>
    </row>
    <row r="84" spans="1:58" ht="109.95" customHeight="1" thickBot="1">
      <c r="A84" s="306">
        <v>71</v>
      </c>
      <c r="B84" s="646" t="str">
        <f>IF(基本情報入力シート!B106="","",基本情報入力シート!B106)</f>
        <v/>
      </c>
      <c r="C84" s="647"/>
      <c r="D84" s="647"/>
      <c r="E84" s="647"/>
      <c r="F84" s="648"/>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53" t="str">
        <f>IF(基本情報入力シート!AF106=0, "",基本情報入力シート!AF106)</f>
        <v/>
      </c>
      <c r="M84" s="581"/>
      <c r="N84" s="517" t="str">
        <f>IFERROR(VLOOKUP(K84,【参考】数式用!$A$2:$F$57,MATCH(M84,【参考】数式用!$C$3:$F$3,0)+2,0),"")</f>
        <v/>
      </c>
      <c r="O84" s="506"/>
      <c r="P84" s="549" t="str">
        <f>IFERROR(VLOOKUP(K84,【参考】数式用!$A$2:$F$57,MATCH(O84,【参考】数式用!$C$3:$F$3,0)+2,0),"")</f>
        <v/>
      </c>
      <c r="Q84" s="313" t="s">
        <v>113</v>
      </c>
      <c r="R84" s="311"/>
      <c r="S84" s="312" t="s">
        <v>178</v>
      </c>
      <c r="T84" s="311"/>
      <c r="U84" s="312" t="s">
        <v>179</v>
      </c>
      <c r="V84" s="311"/>
      <c r="W84" s="312" t="s">
        <v>178</v>
      </c>
      <c r="X84" s="311"/>
      <c r="Y84" s="312" t="s">
        <v>180</v>
      </c>
      <c r="Z84" s="312" t="s">
        <v>181</v>
      </c>
      <c r="AA84" s="312" t="str">
        <f t="shared" ref="AA84:AA113" si="51">IF(R84&gt;=1,(V84*12+X84)-(R84*12+T84)+1,"")</f>
        <v/>
      </c>
      <c r="AB84" s="308" t="s">
        <v>182</v>
      </c>
      <c r="AC84" s="309" t="str">
        <f t="shared" si="42"/>
        <v/>
      </c>
      <c r="AD84" s="510" t="str">
        <f t="shared" si="43"/>
        <v/>
      </c>
      <c r="AE84" s="310" t="str">
        <f>IFERROR(ROUNDDOWN(ROUNDDOWN(ROUND(L84*VLOOKUP(K84,【参考】数式用!$A$4:$F$57,MATCH("処遇改善加算Ⅳ",【参考】数式用!$C$3:$F$3,0)+2,0),0),0)*AA84*0.5,0), "")</f>
        <v/>
      </c>
      <c r="AF84" s="321"/>
      <c r="AG84" s="322"/>
      <c r="AH84" s="322"/>
      <c r="AI84" s="321"/>
      <c r="AJ84" s="323"/>
      <c r="AK84" s="329"/>
      <c r="AL84" s="327" t="str">
        <f t="shared" si="32"/>
        <v/>
      </c>
      <c r="AM84" s="328" t="str">
        <f t="shared" si="50"/>
        <v/>
      </c>
      <c r="AN84" s="258"/>
      <c r="AO84" s="551" t="str">
        <f>IFERROR(VLOOKUP(K84,【参考】数式用!$A$2:$N$57,14,FALSE),"")</f>
        <v/>
      </c>
      <c r="AP84" s="551" t="str">
        <f t="shared" si="33"/>
        <v/>
      </c>
      <c r="AQ84" s="556" t="str">
        <f t="shared" si="34"/>
        <v/>
      </c>
      <c r="AR84" s="534" t="str">
        <f t="shared" si="35"/>
        <v>入力済</v>
      </c>
      <c r="AS84" s="551" t="str">
        <f t="shared" si="44"/>
        <v/>
      </c>
      <c r="AT84" s="534" t="str">
        <f t="shared" si="36"/>
        <v>入力済</v>
      </c>
      <c r="AU84" s="534" t="str">
        <f t="shared" si="45"/>
        <v/>
      </c>
      <c r="AV84" s="534" t="str">
        <f t="shared" si="37"/>
        <v/>
      </c>
      <c r="AW84" s="551" t="str">
        <f t="shared" si="38"/>
        <v/>
      </c>
      <c r="AX84" s="551" t="str">
        <f t="shared" si="46"/>
        <v/>
      </c>
      <c r="AY84" s="534" t="str">
        <f>IFERROR(VLOOKUP(K84,【参考】数式用!$AR$5:$AS$39,2, FALSE), "")</f>
        <v/>
      </c>
      <c r="AZ84" s="551" t="str">
        <f t="shared" si="47"/>
        <v/>
      </c>
      <c r="BA84" s="555" t="str">
        <f t="shared" si="39"/>
        <v>入力済</v>
      </c>
      <c r="BB84" s="534" t="str">
        <f>IFERROR(VLOOKUP(K84,【参考】数式用!$AX$3:$AY$59, 2, FALSE), "")</f>
        <v/>
      </c>
      <c r="BC84" s="551" t="str">
        <f t="shared" si="48"/>
        <v/>
      </c>
      <c r="BD84" s="555" t="str">
        <f t="shared" si="40"/>
        <v>入力済</v>
      </c>
      <c r="BE84" s="552" t="str">
        <f t="shared" si="49"/>
        <v/>
      </c>
      <c r="BF84" s="552" t="str">
        <f t="shared" si="41"/>
        <v/>
      </c>
    </row>
    <row r="85" spans="1:58" ht="109.95" customHeight="1" thickBot="1">
      <c r="A85" s="306">
        <v>72</v>
      </c>
      <c r="B85" s="646" t="str">
        <f>IF(基本情報入力シート!B107="","",基本情報入力シート!B107)</f>
        <v/>
      </c>
      <c r="C85" s="647"/>
      <c r="D85" s="647"/>
      <c r="E85" s="647"/>
      <c r="F85" s="648"/>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53" t="str">
        <f>IF(基本情報入力シート!AF107=0, "",基本情報入力シート!AF107)</f>
        <v/>
      </c>
      <c r="M85" s="581"/>
      <c r="N85" s="517" t="str">
        <f>IFERROR(VLOOKUP(K85,【参考】数式用!$A$2:$F$57,MATCH(M85,【参考】数式用!$C$3:$F$3,0)+2,0),"")</f>
        <v/>
      </c>
      <c r="O85" s="506"/>
      <c r="P85" s="549" t="str">
        <f>IFERROR(VLOOKUP(K85,【参考】数式用!$A$2:$F$57,MATCH(O85,【参考】数式用!$C$3:$F$3,0)+2,0),"")</f>
        <v/>
      </c>
      <c r="Q85" s="313" t="s">
        <v>113</v>
      </c>
      <c r="R85" s="311"/>
      <c r="S85" s="312" t="s">
        <v>178</v>
      </c>
      <c r="T85" s="311"/>
      <c r="U85" s="312" t="s">
        <v>179</v>
      </c>
      <c r="V85" s="311"/>
      <c r="W85" s="312" t="s">
        <v>178</v>
      </c>
      <c r="X85" s="311"/>
      <c r="Y85" s="312" t="s">
        <v>180</v>
      </c>
      <c r="Z85" s="312" t="s">
        <v>181</v>
      </c>
      <c r="AA85" s="312" t="str">
        <f t="shared" si="51"/>
        <v/>
      </c>
      <c r="AB85" s="308" t="s">
        <v>182</v>
      </c>
      <c r="AC85" s="309" t="str">
        <f t="shared" si="42"/>
        <v/>
      </c>
      <c r="AD85" s="510" t="str">
        <f t="shared" si="43"/>
        <v/>
      </c>
      <c r="AE85" s="310" t="str">
        <f>IFERROR(ROUNDDOWN(ROUNDDOWN(ROUND(L85*VLOOKUP(K85,【参考】数式用!$A$4:$F$57,MATCH("処遇改善加算Ⅳ",【参考】数式用!$C$3:$F$3,0)+2,0),0),0)*AA85*0.5,0), "")</f>
        <v/>
      </c>
      <c r="AF85" s="321"/>
      <c r="AG85" s="322"/>
      <c r="AH85" s="322"/>
      <c r="AI85" s="321"/>
      <c r="AJ85" s="323"/>
      <c r="AK85" s="329"/>
      <c r="AL85" s="327" t="str">
        <f t="shared" si="32"/>
        <v/>
      </c>
      <c r="AM85" s="328" t="str">
        <f t="shared" si="50"/>
        <v/>
      </c>
      <c r="AN85" s="258"/>
      <c r="AO85" s="551" t="str">
        <f>IFERROR(VLOOKUP(K85,【参考】数式用!$A$2:$N$57,14,FALSE),"")</f>
        <v/>
      </c>
      <c r="AP85" s="551" t="str">
        <f t="shared" si="33"/>
        <v/>
      </c>
      <c r="AQ85" s="556" t="str">
        <f t="shared" si="34"/>
        <v/>
      </c>
      <c r="AR85" s="534" t="str">
        <f t="shared" si="35"/>
        <v>入力済</v>
      </c>
      <c r="AS85" s="551" t="str">
        <f t="shared" si="44"/>
        <v/>
      </c>
      <c r="AT85" s="534" t="str">
        <f t="shared" si="36"/>
        <v>入力済</v>
      </c>
      <c r="AU85" s="534" t="str">
        <f t="shared" si="45"/>
        <v/>
      </c>
      <c r="AV85" s="534" t="str">
        <f t="shared" si="37"/>
        <v/>
      </c>
      <c r="AW85" s="551" t="str">
        <f t="shared" si="38"/>
        <v/>
      </c>
      <c r="AX85" s="551" t="str">
        <f t="shared" si="46"/>
        <v/>
      </c>
      <c r="AY85" s="534" t="str">
        <f>IFERROR(VLOOKUP(K85,【参考】数式用!$AR$5:$AS$39,2, FALSE), "")</f>
        <v/>
      </c>
      <c r="AZ85" s="551" t="str">
        <f t="shared" si="47"/>
        <v/>
      </c>
      <c r="BA85" s="555" t="str">
        <f t="shared" si="39"/>
        <v>入力済</v>
      </c>
      <c r="BB85" s="534" t="str">
        <f>IFERROR(VLOOKUP(K85,【参考】数式用!$AX$3:$AY$59, 2, FALSE), "")</f>
        <v/>
      </c>
      <c r="BC85" s="551" t="str">
        <f t="shared" si="48"/>
        <v/>
      </c>
      <c r="BD85" s="555" t="str">
        <f t="shared" si="40"/>
        <v>入力済</v>
      </c>
      <c r="BE85" s="552" t="str">
        <f t="shared" si="49"/>
        <v/>
      </c>
      <c r="BF85" s="552" t="str">
        <f t="shared" si="41"/>
        <v/>
      </c>
    </row>
    <row r="86" spans="1:58" ht="109.95" customHeight="1" thickBot="1">
      <c r="A86" s="306">
        <v>73</v>
      </c>
      <c r="B86" s="646" t="str">
        <f>IF(基本情報入力シート!B108="","",基本情報入力シート!B108)</f>
        <v/>
      </c>
      <c r="C86" s="647"/>
      <c r="D86" s="647"/>
      <c r="E86" s="647"/>
      <c r="F86" s="648"/>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53" t="str">
        <f>IF(基本情報入力シート!AF108=0, "",基本情報入力シート!AF108)</f>
        <v/>
      </c>
      <c r="M86" s="581"/>
      <c r="N86" s="517" t="str">
        <f>IFERROR(VLOOKUP(K86,【参考】数式用!$A$2:$F$57,MATCH(M86,【参考】数式用!$C$3:$F$3,0)+2,0),"")</f>
        <v/>
      </c>
      <c r="O86" s="506"/>
      <c r="P86" s="549" t="str">
        <f>IFERROR(VLOOKUP(K86,【参考】数式用!$A$2:$F$57,MATCH(O86,【参考】数式用!$C$3:$F$3,0)+2,0),"")</f>
        <v/>
      </c>
      <c r="Q86" s="313" t="s">
        <v>113</v>
      </c>
      <c r="R86" s="311"/>
      <c r="S86" s="312" t="s">
        <v>178</v>
      </c>
      <c r="T86" s="311"/>
      <c r="U86" s="312" t="s">
        <v>179</v>
      </c>
      <c r="V86" s="311"/>
      <c r="W86" s="312" t="s">
        <v>178</v>
      </c>
      <c r="X86" s="311"/>
      <c r="Y86" s="312" t="s">
        <v>180</v>
      </c>
      <c r="Z86" s="312" t="s">
        <v>181</v>
      </c>
      <c r="AA86" s="312" t="str">
        <f t="shared" si="51"/>
        <v/>
      </c>
      <c r="AB86" s="308" t="s">
        <v>182</v>
      </c>
      <c r="AC86" s="309" t="str">
        <f t="shared" si="42"/>
        <v/>
      </c>
      <c r="AD86" s="510" t="str">
        <f t="shared" si="43"/>
        <v/>
      </c>
      <c r="AE86" s="310" t="str">
        <f>IFERROR(ROUNDDOWN(ROUNDDOWN(ROUND(L86*VLOOKUP(K86,【参考】数式用!$A$4:$F$57,MATCH("処遇改善加算Ⅳ",【参考】数式用!$C$3:$F$3,0)+2,0),0),0)*AA86*0.5,0), "")</f>
        <v/>
      </c>
      <c r="AF86" s="321"/>
      <c r="AG86" s="322"/>
      <c r="AH86" s="322"/>
      <c r="AI86" s="321"/>
      <c r="AJ86" s="323"/>
      <c r="AK86" s="329"/>
      <c r="AL86" s="327" t="str">
        <f t="shared" si="32"/>
        <v/>
      </c>
      <c r="AM86" s="328" t="str">
        <f t="shared" si="50"/>
        <v/>
      </c>
      <c r="AN86" s="258"/>
      <c r="AO86" s="551" t="str">
        <f>IFERROR(VLOOKUP(K86,【参考】数式用!$A$2:$N$57,14,FALSE),"")</f>
        <v/>
      </c>
      <c r="AP86" s="551" t="str">
        <f t="shared" si="33"/>
        <v/>
      </c>
      <c r="AQ86" s="556" t="str">
        <f t="shared" si="34"/>
        <v/>
      </c>
      <c r="AR86" s="534" t="str">
        <f t="shared" si="35"/>
        <v>入力済</v>
      </c>
      <c r="AS86" s="551" t="str">
        <f t="shared" si="44"/>
        <v/>
      </c>
      <c r="AT86" s="534" t="str">
        <f t="shared" si="36"/>
        <v>入力済</v>
      </c>
      <c r="AU86" s="534" t="str">
        <f t="shared" si="45"/>
        <v/>
      </c>
      <c r="AV86" s="534" t="str">
        <f t="shared" si="37"/>
        <v/>
      </c>
      <c r="AW86" s="551" t="str">
        <f t="shared" si="38"/>
        <v/>
      </c>
      <c r="AX86" s="551" t="str">
        <f t="shared" si="46"/>
        <v/>
      </c>
      <c r="AY86" s="534" t="str">
        <f>IFERROR(VLOOKUP(K86,【参考】数式用!$AR$5:$AS$39,2, FALSE), "")</f>
        <v/>
      </c>
      <c r="AZ86" s="551" t="str">
        <f t="shared" si="47"/>
        <v/>
      </c>
      <c r="BA86" s="555" t="str">
        <f t="shared" si="39"/>
        <v>入力済</v>
      </c>
      <c r="BB86" s="534" t="str">
        <f>IFERROR(VLOOKUP(K86,【参考】数式用!$AX$3:$AY$59, 2, FALSE), "")</f>
        <v/>
      </c>
      <c r="BC86" s="551" t="str">
        <f t="shared" si="48"/>
        <v/>
      </c>
      <c r="BD86" s="555" t="str">
        <f t="shared" si="40"/>
        <v>入力済</v>
      </c>
      <c r="BE86" s="552" t="str">
        <f t="shared" si="49"/>
        <v/>
      </c>
      <c r="BF86" s="552" t="str">
        <f t="shared" si="41"/>
        <v/>
      </c>
    </row>
    <row r="87" spans="1:58" ht="109.95" customHeight="1" thickBot="1">
      <c r="A87" s="306">
        <v>74</v>
      </c>
      <c r="B87" s="646" t="str">
        <f>IF(基本情報入力シート!B109="","",基本情報入力シート!B109)</f>
        <v/>
      </c>
      <c r="C87" s="647"/>
      <c r="D87" s="647"/>
      <c r="E87" s="647"/>
      <c r="F87" s="648"/>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53" t="str">
        <f>IF(基本情報入力シート!AF109=0, "",基本情報入力シート!AF109)</f>
        <v/>
      </c>
      <c r="M87" s="581"/>
      <c r="N87" s="517" t="str">
        <f>IFERROR(VLOOKUP(K87,【参考】数式用!$A$2:$F$57,MATCH(M87,【参考】数式用!$C$3:$F$3,0)+2,0),"")</f>
        <v/>
      </c>
      <c r="O87" s="506"/>
      <c r="P87" s="549" t="str">
        <f>IFERROR(VLOOKUP(K87,【参考】数式用!$A$2:$F$57,MATCH(O87,【参考】数式用!$C$3:$F$3,0)+2,0),"")</f>
        <v/>
      </c>
      <c r="Q87" s="313" t="s">
        <v>113</v>
      </c>
      <c r="R87" s="311"/>
      <c r="S87" s="312" t="s">
        <v>178</v>
      </c>
      <c r="T87" s="311"/>
      <c r="U87" s="312" t="s">
        <v>179</v>
      </c>
      <c r="V87" s="311"/>
      <c r="W87" s="312" t="s">
        <v>178</v>
      </c>
      <c r="X87" s="311"/>
      <c r="Y87" s="312" t="s">
        <v>180</v>
      </c>
      <c r="Z87" s="312" t="s">
        <v>181</v>
      </c>
      <c r="AA87" s="312" t="str">
        <f t="shared" si="51"/>
        <v/>
      </c>
      <c r="AB87" s="308" t="s">
        <v>182</v>
      </c>
      <c r="AC87" s="309" t="str">
        <f t="shared" si="42"/>
        <v/>
      </c>
      <c r="AD87" s="510" t="str">
        <f t="shared" si="43"/>
        <v/>
      </c>
      <c r="AE87" s="310" t="str">
        <f>IFERROR(ROUNDDOWN(ROUNDDOWN(ROUND(L87*VLOOKUP(K87,【参考】数式用!$A$4:$F$57,MATCH("処遇改善加算Ⅳ",【参考】数式用!$C$3:$F$3,0)+2,0),0),0)*AA87*0.5,0), "")</f>
        <v/>
      </c>
      <c r="AF87" s="321"/>
      <c r="AG87" s="322"/>
      <c r="AH87" s="322"/>
      <c r="AI87" s="321"/>
      <c r="AJ87" s="323"/>
      <c r="AK87" s="329"/>
      <c r="AL87" s="327" t="str">
        <f t="shared" si="32"/>
        <v/>
      </c>
      <c r="AM87" s="328" t="str">
        <f t="shared" si="50"/>
        <v/>
      </c>
      <c r="AN87" s="258"/>
      <c r="AO87" s="551" t="str">
        <f>IFERROR(VLOOKUP(K87,【参考】数式用!$A$2:$N$57,14,FALSE),"")</f>
        <v/>
      </c>
      <c r="AP87" s="551" t="str">
        <f t="shared" si="33"/>
        <v/>
      </c>
      <c r="AQ87" s="556" t="str">
        <f t="shared" si="34"/>
        <v/>
      </c>
      <c r="AR87" s="534" t="str">
        <f t="shared" si="35"/>
        <v>入力済</v>
      </c>
      <c r="AS87" s="551" t="str">
        <f t="shared" si="44"/>
        <v/>
      </c>
      <c r="AT87" s="534" t="str">
        <f t="shared" si="36"/>
        <v>入力済</v>
      </c>
      <c r="AU87" s="534" t="str">
        <f t="shared" si="45"/>
        <v/>
      </c>
      <c r="AV87" s="534" t="str">
        <f t="shared" si="37"/>
        <v/>
      </c>
      <c r="AW87" s="551" t="str">
        <f t="shared" si="38"/>
        <v/>
      </c>
      <c r="AX87" s="551" t="str">
        <f t="shared" si="46"/>
        <v/>
      </c>
      <c r="AY87" s="534" t="str">
        <f>IFERROR(VLOOKUP(K87,【参考】数式用!$AR$5:$AS$39,2, FALSE), "")</f>
        <v/>
      </c>
      <c r="AZ87" s="551" t="str">
        <f t="shared" si="47"/>
        <v/>
      </c>
      <c r="BA87" s="555" t="str">
        <f t="shared" si="39"/>
        <v>入力済</v>
      </c>
      <c r="BB87" s="534" t="str">
        <f>IFERROR(VLOOKUP(K87,【参考】数式用!$AX$3:$AY$59, 2, FALSE), "")</f>
        <v/>
      </c>
      <c r="BC87" s="551" t="str">
        <f t="shared" si="48"/>
        <v/>
      </c>
      <c r="BD87" s="555" t="str">
        <f t="shared" si="40"/>
        <v>入力済</v>
      </c>
      <c r="BE87" s="552" t="str">
        <f t="shared" si="49"/>
        <v/>
      </c>
      <c r="BF87" s="552" t="str">
        <f t="shared" si="41"/>
        <v/>
      </c>
    </row>
    <row r="88" spans="1:58" ht="109.95" customHeight="1" thickBot="1">
      <c r="A88" s="306">
        <v>75</v>
      </c>
      <c r="B88" s="646" t="str">
        <f>IF(基本情報入力シート!B110="","",基本情報入力シート!B110)</f>
        <v/>
      </c>
      <c r="C88" s="647"/>
      <c r="D88" s="647"/>
      <c r="E88" s="647"/>
      <c r="F88" s="648"/>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53" t="str">
        <f>IF(基本情報入力シート!AF110=0, "",基本情報入力シート!AF110)</f>
        <v/>
      </c>
      <c r="M88" s="581"/>
      <c r="N88" s="517" t="str">
        <f>IFERROR(VLOOKUP(K88,【参考】数式用!$A$2:$F$57,MATCH(M88,【参考】数式用!$C$3:$F$3,0)+2,0),"")</f>
        <v/>
      </c>
      <c r="O88" s="506"/>
      <c r="P88" s="549" t="str">
        <f>IFERROR(VLOOKUP(K88,【参考】数式用!$A$2:$F$57,MATCH(O88,【参考】数式用!$C$3:$F$3,0)+2,0),"")</f>
        <v/>
      </c>
      <c r="Q88" s="313" t="s">
        <v>113</v>
      </c>
      <c r="R88" s="311"/>
      <c r="S88" s="312" t="s">
        <v>178</v>
      </c>
      <c r="T88" s="311"/>
      <c r="U88" s="312" t="s">
        <v>179</v>
      </c>
      <c r="V88" s="311"/>
      <c r="W88" s="312" t="s">
        <v>178</v>
      </c>
      <c r="X88" s="311"/>
      <c r="Y88" s="312" t="s">
        <v>180</v>
      </c>
      <c r="Z88" s="312" t="s">
        <v>181</v>
      </c>
      <c r="AA88" s="312" t="str">
        <f t="shared" si="51"/>
        <v/>
      </c>
      <c r="AB88" s="308" t="s">
        <v>182</v>
      </c>
      <c r="AC88" s="309" t="str">
        <f t="shared" si="42"/>
        <v/>
      </c>
      <c r="AD88" s="510" t="str">
        <f t="shared" si="43"/>
        <v/>
      </c>
      <c r="AE88" s="310" t="str">
        <f>IFERROR(ROUNDDOWN(ROUNDDOWN(ROUND(L88*VLOOKUP(K88,【参考】数式用!$A$4:$F$57,MATCH("処遇改善加算Ⅳ",【参考】数式用!$C$3:$F$3,0)+2,0),0),0)*AA88*0.5,0), "")</f>
        <v/>
      </c>
      <c r="AF88" s="321"/>
      <c r="AG88" s="322"/>
      <c r="AH88" s="322"/>
      <c r="AI88" s="321"/>
      <c r="AJ88" s="323"/>
      <c r="AK88" s="329"/>
      <c r="AL88" s="327" t="str">
        <f t="shared" si="32"/>
        <v/>
      </c>
      <c r="AM88" s="328" t="str">
        <f t="shared" si="50"/>
        <v/>
      </c>
      <c r="AN88" s="258"/>
      <c r="AO88" s="551" t="str">
        <f>IFERROR(VLOOKUP(K88,【参考】数式用!$A$2:$N$57,14,FALSE),"")</f>
        <v/>
      </c>
      <c r="AP88" s="551" t="str">
        <f t="shared" si="33"/>
        <v/>
      </c>
      <c r="AQ88" s="556" t="str">
        <f t="shared" si="34"/>
        <v/>
      </c>
      <c r="AR88" s="534" t="str">
        <f t="shared" si="35"/>
        <v>入力済</v>
      </c>
      <c r="AS88" s="551" t="str">
        <f t="shared" si="44"/>
        <v/>
      </c>
      <c r="AT88" s="534" t="str">
        <f t="shared" si="36"/>
        <v>入力済</v>
      </c>
      <c r="AU88" s="534" t="str">
        <f t="shared" si="45"/>
        <v/>
      </c>
      <c r="AV88" s="534" t="str">
        <f t="shared" si="37"/>
        <v/>
      </c>
      <c r="AW88" s="551" t="str">
        <f t="shared" si="38"/>
        <v/>
      </c>
      <c r="AX88" s="551" t="str">
        <f t="shared" si="46"/>
        <v/>
      </c>
      <c r="AY88" s="534" t="str">
        <f>IFERROR(VLOOKUP(K88,【参考】数式用!$AR$5:$AS$39,2, FALSE), "")</f>
        <v/>
      </c>
      <c r="AZ88" s="551" t="str">
        <f t="shared" si="47"/>
        <v/>
      </c>
      <c r="BA88" s="555" t="str">
        <f t="shared" si="39"/>
        <v>入力済</v>
      </c>
      <c r="BB88" s="534" t="str">
        <f>IFERROR(VLOOKUP(K88,【参考】数式用!$AX$3:$AY$59, 2, FALSE), "")</f>
        <v/>
      </c>
      <c r="BC88" s="551" t="str">
        <f t="shared" si="48"/>
        <v/>
      </c>
      <c r="BD88" s="555" t="str">
        <f t="shared" si="40"/>
        <v>入力済</v>
      </c>
      <c r="BE88" s="552" t="str">
        <f t="shared" si="49"/>
        <v/>
      </c>
      <c r="BF88" s="552" t="str">
        <f t="shared" si="41"/>
        <v/>
      </c>
    </row>
    <row r="89" spans="1:58" ht="109.95" customHeight="1" thickBot="1">
      <c r="A89" s="306">
        <v>76</v>
      </c>
      <c r="B89" s="646" t="str">
        <f>IF(基本情報入力シート!B111="","",基本情報入力シート!B111)</f>
        <v/>
      </c>
      <c r="C89" s="647"/>
      <c r="D89" s="647"/>
      <c r="E89" s="647"/>
      <c r="F89" s="648"/>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53" t="str">
        <f>IF(基本情報入力シート!AF111=0, "",基本情報入力シート!AF111)</f>
        <v/>
      </c>
      <c r="M89" s="581"/>
      <c r="N89" s="517" t="str">
        <f>IFERROR(VLOOKUP(K89,【参考】数式用!$A$2:$F$57,MATCH(M89,【参考】数式用!$C$3:$F$3,0)+2,0),"")</f>
        <v/>
      </c>
      <c r="O89" s="506"/>
      <c r="P89" s="549" t="str">
        <f>IFERROR(VLOOKUP(K89,【参考】数式用!$A$2:$F$57,MATCH(O89,【参考】数式用!$C$3:$F$3,0)+2,0),"")</f>
        <v/>
      </c>
      <c r="Q89" s="313" t="s">
        <v>113</v>
      </c>
      <c r="R89" s="311"/>
      <c r="S89" s="312" t="s">
        <v>178</v>
      </c>
      <c r="T89" s="311"/>
      <c r="U89" s="312" t="s">
        <v>179</v>
      </c>
      <c r="V89" s="311"/>
      <c r="W89" s="312" t="s">
        <v>178</v>
      </c>
      <c r="X89" s="311"/>
      <c r="Y89" s="312" t="s">
        <v>180</v>
      </c>
      <c r="Z89" s="312" t="s">
        <v>181</v>
      </c>
      <c r="AA89" s="312" t="str">
        <f t="shared" si="51"/>
        <v/>
      </c>
      <c r="AB89" s="308" t="s">
        <v>182</v>
      </c>
      <c r="AC89" s="309" t="str">
        <f t="shared" si="42"/>
        <v/>
      </c>
      <c r="AD89" s="510" t="str">
        <f t="shared" si="43"/>
        <v/>
      </c>
      <c r="AE89" s="310" t="str">
        <f>IFERROR(ROUNDDOWN(ROUNDDOWN(ROUND(L89*VLOOKUP(K89,【参考】数式用!$A$4:$F$57,MATCH("処遇改善加算Ⅳ",【参考】数式用!$C$3:$F$3,0)+2,0),0),0)*AA89*0.5,0), "")</f>
        <v/>
      </c>
      <c r="AF89" s="321"/>
      <c r="AG89" s="322"/>
      <c r="AH89" s="322"/>
      <c r="AI89" s="321"/>
      <c r="AJ89" s="323"/>
      <c r="AK89" s="329"/>
      <c r="AL89" s="327" t="str">
        <f t="shared" si="32"/>
        <v/>
      </c>
      <c r="AM89" s="328" t="str">
        <f t="shared" si="50"/>
        <v/>
      </c>
      <c r="AN89" s="258"/>
      <c r="AO89" s="551" t="str">
        <f>IFERROR(VLOOKUP(K89,【参考】数式用!$A$2:$N$57,14,FALSE),"")</f>
        <v/>
      </c>
      <c r="AP89" s="551" t="str">
        <f t="shared" si="33"/>
        <v/>
      </c>
      <c r="AQ89" s="556" t="str">
        <f t="shared" si="34"/>
        <v/>
      </c>
      <c r="AR89" s="534" t="str">
        <f t="shared" si="35"/>
        <v>入力済</v>
      </c>
      <c r="AS89" s="551" t="str">
        <f t="shared" si="44"/>
        <v/>
      </c>
      <c r="AT89" s="534" t="str">
        <f t="shared" si="36"/>
        <v>入力済</v>
      </c>
      <c r="AU89" s="534" t="str">
        <f t="shared" si="45"/>
        <v/>
      </c>
      <c r="AV89" s="534" t="str">
        <f t="shared" si="37"/>
        <v/>
      </c>
      <c r="AW89" s="551" t="str">
        <f t="shared" si="38"/>
        <v/>
      </c>
      <c r="AX89" s="551" t="str">
        <f t="shared" si="46"/>
        <v/>
      </c>
      <c r="AY89" s="534" t="str">
        <f>IFERROR(VLOOKUP(K89,【参考】数式用!$AR$5:$AS$39,2, FALSE), "")</f>
        <v/>
      </c>
      <c r="AZ89" s="551" t="str">
        <f t="shared" si="47"/>
        <v/>
      </c>
      <c r="BA89" s="555" t="str">
        <f t="shared" si="39"/>
        <v>入力済</v>
      </c>
      <c r="BB89" s="534" t="str">
        <f>IFERROR(VLOOKUP(K89,【参考】数式用!$AX$3:$AY$59, 2, FALSE), "")</f>
        <v/>
      </c>
      <c r="BC89" s="551" t="str">
        <f t="shared" si="48"/>
        <v/>
      </c>
      <c r="BD89" s="555" t="str">
        <f t="shared" si="40"/>
        <v>入力済</v>
      </c>
      <c r="BE89" s="552" t="str">
        <f t="shared" si="49"/>
        <v/>
      </c>
      <c r="BF89" s="552" t="str">
        <f t="shared" si="41"/>
        <v/>
      </c>
    </row>
    <row r="90" spans="1:58" ht="109.95" customHeight="1" thickBot="1">
      <c r="A90" s="306">
        <v>77</v>
      </c>
      <c r="B90" s="646" t="str">
        <f>IF(基本情報入力シート!B112="","",基本情報入力シート!B112)</f>
        <v/>
      </c>
      <c r="C90" s="647"/>
      <c r="D90" s="647"/>
      <c r="E90" s="647"/>
      <c r="F90" s="648"/>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53" t="str">
        <f>IF(基本情報入力シート!AF112=0, "",基本情報入力シート!AF112)</f>
        <v/>
      </c>
      <c r="M90" s="581"/>
      <c r="N90" s="517" t="str">
        <f>IFERROR(VLOOKUP(K90,【参考】数式用!$A$2:$F$57,MATCH(M90,【参考】数式用!$C$3:$F$3,0)+2,0),"")</f>
        <v/>
      </c>
      <c r="O90" s="506"/>
      <c r="P90" s="549" t="str">
        <f>IFERROR(VLOOKUP(K90,【参考】数式用!$A$2:$F$57,MATCH(O90,【参考】数式用!$C$3:$F$3,0)+2,0),"")</f>
        <v/>
      </c>
      <c r="Q90" s="313" t="s">
        <v>113</v>
      </c>
      <c r="R90" s="311"/>
      <c r="S90" s="312" t="s">
        <v>178</v>
      </c>
      <c r="T90" s="311"/>
      <c r="U90" s="312" t="s">
        <v>179</v>
      </c>
      <c r="V90" s="311"/>
      <c r="W90" s="312" t="s">
        <v>178</v>
      </c>
      <c r="X90" s="311"/>
      <c r="Y90" s="312" t="s">
        <v>180</v>
      </c>
      <c r="Z90" s="312" t="s">
        <v>181</v>
      </c>
      <c r="AA90" s="312" t="str">
        <f t="shared" si="51"/>
        <v/>
      </c>
      <c r="AB90" s="308" t="s">
        <v>182</v>
      </c>
      <c r="AC90" s="309" t="str">
        <f t="shared" si="42"/>
        <v/>
      </c>
      <c r="AD90" s="510" t="str">
        <f t="shared" si="43"/>
        <v/>
      </c>
      <c r="AE90" s="310" t="str">
        <f>IFERROR(ROUNDDOWN(ROUNDDOWN(ROUND(L90*VLOOKUP(K90,【参考】数式用!$A$4:$F$57,MATCH("処遇改善加算Ⅳ",【参考】数式用!$C$3:$F$3,0)+2,0),0),0)*AA90*0.5,0), "")</f>
        <v/>
      </c>
      <c r="AF90" s="321"/>
      <c r="AG90" s="322"/>
      <c r="AH90" s="322"/>
      <c r="AI90" s="321"/>
      <c r="AJ90" s="323"/>
      <c r="AK90" s="329"/>
      <c r="AL90" s="327" t="str">
        <f t="shared" si="32"/>
        <v/>
      </c>
      <c r="AM90" s="328" t="str">
        <f t="shared" si="50"/>
        <v/>
      </c>
      <c r="AN90" s="258"/>
      <c r="AO90" s="551" t="str">
        <f>IFERROR(VLOOKUP(K90,【参考】数式用!$A$2:$N$57,14,FALSE),"")</f>
        <v/>
      </c>
      <c r="AP90" s="551" t="str">
        <f t="shared" si="33"/>
        <v/>
      </c>
      <c r="AQ90" s="556" t="str">
        <f t="shared" si="34"/>
        <v/>
      </c>
      <c r="AR90" s="534" t="str">
        <f t="shared" si="35"/>
        <v>入力済</v>
      </c>
      <c r="AS90" s="551" t="str">
        <f t="shared" si="44"/>
        <v/>
      </c>
      <c r="AT90" s="534" t="str">
        <f t="shared" si="36"/>
        <v>入力済</v>
      </c>
      <c r="AU90" s="534" t="str">
        <f t="shared" si="45"/>
        <v/>
      </c>
      <c r="AV90" s="534" t="str">
        <f t="shared" si="37"/>
        <v/>
      </c>
      <c r="AW90" s="551" t="str">
        <f t="shared" si="38"/>
        <v/>
      </c>
      <c r="AX90" s="551" t="str">
        <f t="shared" si="46"/>
        <v/>
      </c>
      <c r="AY90" s="534" t="str">
        <f>IFERROR(VLOOKUP(K90,【参考】数式用!$AR$5:$AS$39,2, FALSE), "")</f>
        <v/>
      </c>
      <c r="AZ90" s="551" t="str">
        <f t="shared" si="47"/>
        <v/>
      </c>
      <c r="BA90" s="555" t="str">
        <f t="shared" si="39"/>
        <v>入力済</v>
      </c>
      <c r="BB90" s="534" t="str">
        <f>IFERROR(VLOOKUP(K90,【参考】数式用!$AX$3:$AY$59, 2, FALSE), "")</f>
        <v/>
      </c>
      <c r="BC90" s="551" t="str">
        <f t="shared" si="48"/>
        <v/>
      </c>
      <c r="BD90" s="555" t="str">
        <f t="shared" si="40"/>
        <v>入力済</v>
      </c>
      <c r="BE90" s="552" t="str">
        <f t="shared" si="49"/>
        <v/>
      </c>
      <c r="BF90" s="552" t="str">
        <f t="shared" si="41"/>
        <v/>
      </c>
    </row>
    <row r="91" spans="1:58" ht="109.95" customHeight="1" thickBot="1">
      <c r="A91" s="306">
        <v>78</v>
      </c>
      <c r="B91" s="646" t="str">
        <f>IF(基本情報入力シート!B113="","",基本情報入力シート!B113)</f>
        <v/>
      </c>
      <c r="C91" s="647"/>
      <c r="D91" s="647"/>
      <c r="E91" s="647"/>
      <c r="F91" s="648"/>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53" t="str">
        <f>IF(基本情報入力シート!AF113=0, "",基本情報入力シート!AF113)</f>
        <v/>
      </c>
      <c r="M91" s="581"/>
      <c r="N91" s="517" t="str">
        <f>IFERROR(VLOOKUP(K91,【参考】数式用!$A$2:$F$57,MATCH(M91,【参考】数式用!$C$3:$F$3,0)+2,0),"")</f>
        <v/>
      </c>
      <c r="O91" s="506"/>
      <c r="P91" s="549" t="str">
        <f>IFERROR(VLOOKUP(K91,【参考】数式用!$A$2:$F$57,MATCH(O91,【参考】数式用!$C$3:$F$3,0)+2,0),"")</f>
        <v/>
      </c>
      <c r="Q91" s="313" t="s">
        <v>113</v>
      </c>
      <c r="R91" s="311"/>
      <c r="S91" s="312" t="s">
        <v>178</v>
      </c>
      <c r="T91" s="311"/>
      <c r="U91" s="312" t="s">
        <v>179</v>
      </c>
      <c r="V91" s="311"/>
      <c r="W91" s="312" t="s">
        <v>178</v>
      </c>
      <c r="X91" s="311"/>
      <c r="Y91" s="312" t="s">
        <v>180</v>
      </c>
      <c r="Z91" s="312" t="s">
        <v>181</v>
      </c>
      <c r="AA91" s="312" t="str">
        <f t="shared" si="51"/>
        <v/>
      </c>
      <c r="AB91" s="308" t="s">
        <v>182</v>
      </c>
      <c r="AC91" s="309" t="str">
        <f t="shared" si="42"/>
        <v/>
      </c>
      <c r="AD91" s="510" t="str">
        <f t="shared" si="43"/>
        <v/>
      </c>
      <c r="AE91" s="310" t="str">
        <f>IFERROR(ROUNDDOWN(ROUNDDOWN(ROUND(L91*VLOOKUP(K91,【参考】数式用!$A$4:$F$57,MATCH("処遇改善加算Ⅳ",【参考】数式用!$C$3:$F$3,0)+2,0),0),0)*AA91*0.5,0), "")</f>
        <v/>
      </c>
      <c r="AF91" s="321"/>
      <c r="AG91" s="322"/>
      <c r="AH91" s="322"/>
      <c r="AI91" s="321"/>
      <c r="AJ91" s="323"/>
      <c r="AK91" s="329"/>
      <c r="AL91" s="327" t="str">
        <f t="shared" si="32"/>
        <v/>
      </c>
      <c r="AM91" s="328" t="str">
        <f t="shared" si="50"/>
        <v/>
      </c>
      <c r="AN91" s="258"/>
      <c r="AO91" s="551" t="str">
        <f>IFERROR(VLOOKUP(K91,【参考】数式用!$A$2:$N$57,14,FALSE),"")</f>
        <v/>
      </c>
      <c r="AP91" s="551" t="str">
        <f t="shared" si="33"/>
        <v/>
      </c>
      <c r="AQ91" s="556" t="str">
        <f t="shared" si="34"/>
        <v/>
      </c>
      <c r="AR91" s="534" t="str">
        <f t="shared" si="35"/>
        <v>入力済</v>
      </c>
      <c r="AS91" s="551" t="str">
        <f t="shared" si="44"/>
        <v/>
      </c>
      <c r="AT91" s="534" t="str">
        <f t="shared" si="36"/>
        <v>入力済</v>
      </c>
      <c r="AU91" s="534" t="str">
        <f t="shared" si="45"/>
        <v/>
      </c>
      <c r="AV91" s="534" t="str">
        <f t="shared" si="37"/>
        <v/>
      </c>
      <c r="AW91" s="551" t="str">
        <f t="shared" si="38"/>
        <v/>
      </c>
      <c r="AX91" s="551" t="str">
        <f t="shared" si="46"/>
        <v/>
      </c>
      <c r="AY91" s="534" t="str">
        <f>IFERROR(VLOOKUP(K91,【参考】数式用!$AR$5:$AS$39,2, FALSE), "")</f>
        <v/>
      </c>
      <c r="AZ91" s="551" t="str">
        <f t="shared" si="47"/>
        <v/>
      </c>
      <c r="BA91" s="555" t="str">
        <f t="shared" si="39"/>
        <v>入力済</v>
      </c>
      <c r="BB91" s="534" t="str">
        <f>IFERROR(VLOOKUP(K91,【参考】数式用!$AX$3:$AY$59, 2, FALSE), "")</f>
        <v/>
      </c>
      <c r="BC91" s="551" t="str">
        <f t="shared" si="48"/>
        <v/>
      </c>
      <c r="BD91" s="555" t="str">
        <f t="shared" si="40"/>
        <v>入力済</v>
      </c>
      <c r="BE91" s="552" t="str">
        <f t="shared" si="49"/>
        <v/>
      </c>
      <c r="BF91" s="552" t="str">
        <f t="shared" si="41"/>
        <v/>
      </c>
    </row>
    <row r="92" spans="1:58" ht="109.95" customHeight="1" thickBot="1">
      <c r="A92" s="306">
        <v>79</v>
      </c>
      <c r="B92" s="646" t="str">
        <f>IF(基本情報入力シート!B114="","",基本情報入力シート!B114)</f>
        <v/>
      </c>
      <c r="C92" s="647"/>
      <c r="D92" s="647"/>
      <c r="E92" s="647"/>
      <c r="F92" s="648"/>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53" t="str">
        <f>IF(基本情報入力シート!AF114=0, "",基本情報入力シート!AF114)</f>
        <v/>
      </c>
      <c r="M92" s="581"/>
      <c r="N92" s="517" t="str">
        <f>IFERROR(VLOOKUP(K92,【参考】数式用!$A$2:$F$57,MATCH(M92,【参考】数式用!$C$3:$F$3,0)+2,0),"")</f>
        <v/>
      </c>
      <c r="O92" s="506"/>
      <c r="P92" s="549" t="str">
        <f>IFERROR(VLOOKUP(K92,【参考】数式用!$A$2:$F$57,MATCH(O92,【参考】数式用!$C$3:$F$3,0)+2,0),"")</f>
        <v/>
      </c>
      <c r="Q92" s="313" t="s">
        <v>113</v>
      </c>
      <c r="R92" s="311"/>
      <c r="S92" s="312" t="s">
        <v>178</v>
      </c>
      <c r="T92" s="311"/>
      <c r="U92" s="312" t="s">
        <v>179</v>
      </c>
      <c r="V92" s="311"/>
      <c r="W92" s="312" t="s">
        <v>178</v>
      </c>
      <c r="X92" s="311"/>
      <c r="Y92" s="312" t="s">
        <v>180</v>
      </c>
      <c r="Z92" s="312" t="s">
        <v>181</v>
      </c>
      <c r="AA92" s="312" t="str">
        <f t="shared" si="51"/>
        <v/>
      </c>
      <c r="AB92" s="308" t="s">
        <v>182</v>
      </c>
      <c r="AC92" s="309" t="str">
        <f t="shared" si="42"/>
        <v/>
      </c>
      <c r="AD92" s="510" t="str">
        <f t="shared" si="43"/>
        <v/>
      </c>
      <c r="AE92" s="310" t="str">
        <f>IFERROR(ROUNDDOWN(ROUNDDOWN(ROUND(L92*VLOOKUP(K92,【参考】数式用!$A$4:$F$57,MATCH("処遇改善加算Ⅳ",【参考】数式用!$C$3:$F$3,0)+2,0),0),0)*AA92*0.5,0), "")</f>
        <v/>
      </c>
      <c r="AF92" s="321"/>
      <c r="AG92" s="322"/>
      <c r="AH92" s="322"/>
      <c r="AI92" s="321"/>
      <c r="AJ92" s="323"/>
      <c r="AK92" s="329"/>
      <c r="AL92" s="327" t="str">
        <f t="shared" si="32"/>
        <v/>
      </c>
      <c r="AM92" s="328" t="str">
        <f t="shared" si="50"/>
        <v/>
      </c>
      <c r="AN92" s="258"/>
      <c r="AO92" s="551" t="str">
        <f>IFERROR(VLOOKUP(K92,【参考】数式用!$A$2:$N$57,14,FALSE),"")</f>
        <v/>
      </c>
      <c r="AP92" s="551" t="str">
        <f t="shared" si="33"/>
        <v/>
      </c>
      <c r="AQ92" s="556" t="str">
        <f t="shared" si="34"/>
        <v/>
      </c>
      <c r="AR92" s="534" t="str">
        <f t="shared" si="35"/>
        <v>入力済</v>
      </c>
      <c r="AS92" s="551" t="str">
        <f t="shared" si="44"/>
        <v/>
      </c>
      <c r="AT92" s="534" t="str">
        <f t="shared" si="36"/>
        <v>入力済</v>
      </c>
      <c r="AU92" s="534" t="str">
        <f t="shared" si="45"/>
        <v/>
      </c>
      <c r="AV92" s="534" t="str">
        <f t="shared" si="37"/>
        <v/>
      </c>
      <c r="AW92" s="551" t="str">
        <f t="shared" si="38"/>
        <v/>
      </c>
      <c r="AX92" s="551" t="str">
        <f t="shared" si="46"/>
        <v/>
      </c>
      <c r="AY92" s="534" t="str">
        <f>IFERROR(VLOOKUP(K92,【参考】数式用!$AR$5:$AS$39,2, FALSE), "")</f>
        <v/>
      </c>
      <c r="AZ92" s="551" t="str">
        <f t="shared" si="47"/>
        <v/>
      </c>
      <c r="BA92" s="555" t="str">
        <f t="shared" si="39"/>
        <v>入力済</v>
      </c>
      <c r="BB92" s="534" t="str">
        <f>IFERROR(VLOOKUP(K92,【参考】数式用!$AX$3:$AY$59, 2, FALSE), "")</f>
        <v/>
      </c>
      <c r="BC92" s="551" t="str">
        <f t="shared" si="48"/>
        <v/>
      </c>
      <c r="BD92" s="555" t="str">
        <f t="shared" si="40"/>
        <v>入力済</v>
      </c>
      <c r="BE92" s="552" t="str">
        <f t="shared" si="49"/>
        <v/>
      </c>
      <c r="BF92" s="552" t="str">
        <f t="shared" si="41"/>
        <v/>
      </c>
    </row>
    <row r="93" spans="1:58" ht="109.95" customHeight="1" thickBot="1">
      <c r="A93" s="306">
        <v>80</v>
      </c>
      <c r="B93" s="646" t="str">
        <f>IF(基本情報入力シート!B115="","",基本情報入力シート!B115)</f>
        <v/>
      </c>
      <c r="C93" s="647"/>
      <c r="D93" s="647"/>
      <c r="E93" s="647"/>
      <c r="F93" s="648"/>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53" t="str">
        <f>IF(基本情報入力シート!AF115=0, "",基本情報入力シート!AF115)</f>
        <v/>
      </c>
      <c r="M93" s="581"/>
      <c r="N93" s="517" t="str">
        <f>IFERROR(VLOOKUP(K93,【参考】数式用!$A$2:$F$57,MATCH(M93,【参考】数式用!$C$3:$F$3,0)+2,0),"")</f>
        <v/>
      </c>
      <c r="O93" s="506"/>
      <c r="P93" s="549" t="str">
        <f>IFERROR(VLOOKUP(K93,【参考】数式用!$A$2:$F$57,MATCH(O93,【参考】数式用!$C$3:$F$3,0)+2,0),"")</f>
        <v/>
      </c>
      <c r="Q93" s="313" t="s">
        <v>113</v>
      </c>
      <c r="R93" s="311"/>
      <c r="S93" s="312" t="s">
        <v>178</v>
      </c>
      <c r="T93" s="311"/>
      <c r="U93" s="312" t="s">
        <v>179</v>
      </c>
      <c r="V93" s="311"/>
      <c r="W93" s="312" t="s">
        <v>178</v>
      </c>
      <c r="X93" s="311"/>
      <c r="Y93" s="312" t="s">
        <v>180</v>
      </c>
      <c r="Z93" s="312" t="s">
        <v>181</v>
      </c>
      <c r="AA93" s="312" t="str">
        <f t="shared" si="51"/>
        <v/>
      </c>
      <c r="AB93" s="308" t="s">
        <v>182</v>
      </c>
      <c r="AC93" s="309" t="str">
        <f t="shared" si="42"/>
        <v/>
      </c>
      <c r="AD93" s="510" t="str">
        <f t="shared" si="43"/>
        <v/>
      </c>
      <c r="AE93" s="310" t="str">
        <f>IFERROR(ROUNDDOWN(ROUNDDOWN(ROUND(L93*VLOOKUP(K93,【参考】数式用!$A$4:$F$57,MATCH("処遇改善加算Ⅳ",【参考】数式用!$C$3:$F$3,0)+2,0),0),0)*AA93*0.5,0), "")</f>
        <v/>
      </c>
      <c r="AF93" s="321"/>
      <c r="AG93" s="322"/>
      <c r="AH93" s="322"/>
      <c r="AI93" s="321"/>
      <c r="AJ93" s="323"/>
      <c r="AK93" s="329"/>
      <c r="AL93" s="327" t="str">
        <f t="shared" si="32"/>
        <v/>
      </c>
      <c r="AM93" s="328" t="str">
        <f t="shared" si="50"/>
        <v/>
      </c>
      <c r="AN93" s="258"/>
      <c r="AO93" s="551" t="str">
        <f>IFERROR(VLOOKUP(K93,【参考】数式用!$A$2:$N$57,14,FALSE),"")</f>
        <v/>
      </c>
      <c r="AP93" s="551" t="str">
        <f t="shared" si="33"/>
        <v/>
      </c>
      <c r="AQ93" s="556" t="str">
        <f t="shared" si="34"/>
        <v/>
      </c>
      <c r="AR93" s="534" t="str">
        <f t="shared" si="35"/>
        <v>入力済</v>
      </c>
      <c r="AS93" s="551" t="str">
        <f t="shared" si="44"/>
        <v/>
      </c>
      <c r="AT93" s="534" t="str">
        <f t="shared" si="36"/>
        <v>入力済</v>
      </c>
      <c r="AU93" s="534" t="str">
        <f t="shared" si="45"/>
        <v/>
      </c>
      <c r="AV93" s="534" t="str">
        <f t="shared" si="37"/>
        <v/>
      </c>
      <c r="AW93" s="551" t="str">
        <f t="shared" si="38"/>
        <v/>
      </c>
      <c r="AX93" s="551" t="str">
        <f t="shared" si="46"/>
        <v/>
      </c>
      <c r="AY93" s="534" t="str">
        <f>IFERROR(VLOOKUP(K93,【参考】数式用!$AR$5:$AS$39,2, FALSE), "")</f>
        <v/>
      </c>
      <c r="AZ93" s="551" t="str">
        <f t="shared" si="47"/>
        <v/>
      </c>
      <c r="BA93" s="555" t="str">
        <f t="shared" si="39"/>
        <v>入力済</v>
      </c>
      <c r="BB93" s="534" t="str">
        <f>IFERROR(VLOOKUP(K93,【参考】数式用!$AX$3:$AY$59, 2, FALSE), "")</f>
        <v/>
      </c>
      <c r="BC93" s="551" t="str">
        <f t="shared" si="48"/>
        <v/>
      </c>
      <c r="BD93" s="555" t="str">
        <f t="shared" si="40"/>
        <v>入力済</v>
      </c>
      <c r="BE93" s="552" t="str">
        <f t="shared" si="49"/>
        <v/>
      </c>
      <c r="BF93" s="552" t="str">
        <f t="shared" si="41"/>
        <v/>
      </c>
    </row>
    <row r="94" spans="1:58" ht="109.95" customHeight="1" thickBot="1">
      <c r="A94" s="306">
        <v>81</v>
      </c>
      <c r="B94" s="646" t="str">
        <f>IF(基本情報入力シート!B116="","",基本情報入力シート!B116)</f>
        <v/>
      </c>
      <c r="C94" s="647"/>
      <c r="D94" s="647"/>
      <c r="E94" s="647"/>
      <c r="F94" s="648"/>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53" t="str">
        <f>IF(基本情報入力シート!AF116=0, "",基本情報入力シート!AF116)</f>
        <v/>
      </c>
      <c r="M94" s="581"/>
      <c r="N94" s="517" t="str">
        <f>IFERROR(VLOOKUP(K94,【参考】数式用!$A$2:$F$57,MATCH(M94,【参考】数式用!$C$3:$F$3,0)+2,0),"")</f>
        <v/>
      </c>
      <c r="O94" s="506"/>
      <c r="P94" s="549" t="str">
        <f>IFERROR(VLOOKUP(K94,【参考】数式用!$A$2:$F$57,MATCH(O94,【参考】数式用!$C$3:$F$3,0)+2,0),"")</f>
        <v/>
      </c>
      <c r="Q94" s="313" t="s">
        <v>113</v>
      </c>
      <c r="R94" s="311"/>
      <c r="S94" s="312" t="s">
        <v>178</v>
      </c>
      <c r="T94" s="311"/>
      <c r="U94" s="312" t="s">
        <v>179</v>
      </c>
      <c r="V94" s="311"/>
      <c r="W94" s="312" t="s">
        <v>178</v>
      </c>
      <c r="X94" s="311"/>
      <c r="Y94" s="312" t="s">
        <v>180</v>
      </c>
      <c r="Z94" s="312" t="s">
        <v>181</v>
      </c>
      <c r="AA94" s="312" t="str">
        <f t="shared" si="51"/>
        <v/>
      </c>
      <c r="AB94" s="308" t="s">
        <v>182</v>
      </c>
      <c r="AC94" s="309" t="str">
        <f t="shared" si="42"/>
        <v/>
      </c>
      <c r="AD94" s="510" t="str">
        <f t="shared" si="43"/>
        <v/>
      </c>
      <c r="AE94" s="310" t="str">
        <f>IFERROR(ROUNDDOWN(ROUNDDOWN(ROUND(L94*VLOOKUP(K94,【参考】数式用!$A$4:$F$57,MATCH("処遇改善加算Ⅳ",【参考】数式用!$C$3:$F$3,0)+2,0),0),0)*AA94*0.5,0), "")</f>
        <v/>
      </c>
      <c r="AF94" s="321"/>
      <c r="AG94" s="322"/>
      <c r="AH94" s="322"/>
      <c r="AI94" s="321"/>
      <c r="AJ94" s="323"/>
      <c r="AK94" s="329"/>
      <c r="AL94" s="327" t="str">
        <f t="shared" si="32"/>
        <v/>
      </c>
      <c r="AM94" s="328" t="str">
        <f t="shared" si="50"/>
        <v/>
      </c>
      <c r="AN94" s="258"/>
      <c r="AO94" s="551" t="str">
        <f>IFERROR(VLOOKUP(K94,【参考】数式用!$A$2:$N$57,14,FALSE),"")</f>
        <v/>
      </c>
      <c r="AP94" s="551" t="str">
        <f t="shared" si="33"/>
        <v/>
      </c>
      <c r="AQ94" s="556" t="str">
        <f t="shared" si="34"/>
        <v/>
      </c>
      <c r="AR94" s="534" t="str">
        <f t="shared" si="35"/>
        <v>入力済</v>
      </c>
      <c r="AS94" s="551" t="str">
        <f t="shared" si="44"/>
        <v/>
      </c>
      <c r="AT94" s="534" t="str">
        <f t="shared" si="36"/>
        <v>入力済</v>
      </c>
      <c r="AU94" s="534" t="str">
        <f t="shared" si="45"/>
        <v/>
      </c>
      <c r="AV94" s="534" t="str">
        <f t="shared" si="37"/>
        <v/>
      </c>
      <c r="AW94" s="551" t="str">
        <f t="shared" si="38"/>
        <v/>
      </c>
      <c r="AX94" s="551" t="str">
        <f t="shared" si="46"/>
        <v/>
      </c>
      <c r="AY94" s="534" t="str">
        <f>IFERROR(VLOOKUP(K94,【参考】数式用!$AR$5:$AS$39,2, FALSE), "")</f>
        <v/>
      </c>
      <c r="AZ94" s="551" t="str">
        <f t="shared" si="47"/>
        <v/>
      </c>
      <c r="BA94" s="555" t="str">
        <f t="shared" si="39"/>
        <v>入力済</v>
      </c>
      <c r="BB94" s="534" t="str">
        <f>IFERROR(VLOOKUP(K94,【参考】数式用!$AX$3:$AY$59, 2, FALSE), "")</f>
        <v/>
      </c>
      <c r="BC94" s="551" t="str">
        <f t="shared" si="48"/>
        <v/>
      </c>
      <c r="BD94" s="555" t="str">
        <f t="shared" si="40"/>
        <v>入力済</v>
      </c>
      <c r="BE94" s="552" t="str">
        <f t="shared" si="49"/>
        <v/>
      </c>
      <c r="BF94" s="552" t="str">
        <f t="shared" si="41"/>
        <v/>
      </c>
    </row>
    <row r="95" spans="1:58" ht="109.95" customHeight="1" thickBot="1">
      <c r="A95" s="306">
        <v>82</v>
      </c>
      <c r="B95" s="646" t="str">
        <f>IF(基本情報入力シート!B117="","",基本情報入力シート!B117)</f>
        <v/>
      </c>
      <c r="C95" s="647"/>
      <c r="D95" s="647"/>
      <c r="E95" s="647"/>
      <c r="F95" s="648"/>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53" t="str">
        <f>IF(基本情報入力シート!AF117=0, "",基本情報入力シート!AF117)</f>
        <v/>
      </c>
      <c r="M95" s="581"/>
      <c r="N95" s="517" t="str">
        <f>IFERROR(VLOOKUP(K95,【参考】数式用!$A$2:$F$57,MATCH(M95,【参考】数式用!$C$3:$F$3,0)+2,0),"")</f>
        <v/>
      </c>
      <c r="O95" s="506"/>
      <c r="P95" s="549" t="str">
        <f>IFERROR(VLOOKUP(K95,【参考】数式用!$A$2:$F$57,MATCH(O95,【参考】数式用!$C$3:$F$3,0)+2,0),"")</f>
        <v/>
      </c>
      <c r="Q95" s="313" t="s">
        <v>113</v>
      </c>
      <c r="R95" s="311"/>
      <c r="S95" s="312" t="s">
        <v>178</v>
      </c>
      <c r="T95" s="311"/>
      <c r="U95" s="312" t="s">
        <v>179</v>
      </c>
      <c r="V95" s="311"/>
      <c r="W95" s="312" t="s">
        <v>178</v>
      </c>
      <c r="X95" s="311"/>
      <c r="Y95" s="312" t="s">
        <v>180</v>
      </c>
      <c r="Z95" s="312" t="s">
        <v>181</v>
      </c>
      <c r="AA95" s="312" t="str">
        <f t="shared" si="51"/>
        <v/>
      </c>
      <c r="AB95" s="308" t="s">
        <v>182</v>
      </c>
      <c r="AC95" s="309" t="str">
        <f t="shared" si="42"/>
        <v/>
      </c>
      <c r="AD95" s="510" t="str">
        <f t="shared" si="43"/>
        <v/>
      </c>
      <c r="AE95" s="310" t="str">
        <f>IFERROR(ROUNDDOWN(ROUNDDOWN(ROUND(L95*VLOOKUP(K95,【参考】数式用!$A$4:$F$57,MATCH("処遇改善加算Ⅳ",【参考】数式用!$C$3:$F$3,0)+2,0),0),0)*AA95*0.5,0), "")</f>
        <v/>
      </c>
      <c r="AF95" s="321"/>
      <c r="AG95" s="322"/>
      <c r="AH95" s="322"/>
      <c r="AI95" s="321"/>
      <c r="AJ95" s="323"/>
      <c r="AK95" s="329"/>
      <c r="AL95" s="327" t="str">
        <f t="shared" si="32"/>
        <v/>
      </c>
      <c r="AM95" s="328" t="str">
        <f t="shared" si="50"/>
        <v/>
      </c>
      <c r="AN95" s="258"/>
      <c r="AO95" s="551" t="str">
        <f>IFERROR(VLOOKUP(K95,【参考】数式用!$A$2:$N$57,14,FALSE),"")</f>
        <v/>
      </c>
      <c r="AP95" s="551" t="str">
        <f t="shared" si="33"/>
        <v/>
      </c>
      <c r="AQ95" s="556" t="str">
        <f t="shared" si="34"/>
        <v/>
      </c>
      <c r="AR95" s="534" t="str">
        <f t="shared" si="35"/>
        <v>入力済</v>
      </c>
      <c r="AS95" s="551" t="str">
        <f t="shared" si="44"/>
        <v/>
      </c>
      <c r="AT95" s="534" t="str">
        <f t="shared" si="36"/>
        <v>入力済</v>
      </c>
      <c r="AU95" s="534" t="str">
        <f t="shared" si="45"/>
        <v/>
      </c>
      <c r="AV95" s="534" t="str">
        <f t="shared" si="37"/>
        <v/>
      </c>
      <c r="AW95" s="551" t="str">
        <f t="shared" si="38"/>
        <v/>
      </c>
      <c r="AX95" s="551" t="str">
        <f t="shared" si="46"/>
        <v/>
      </c>
      <c r="AY95" s="534" t="str">
        <f>IFERROR(VLOOKUP(K95,【参考】数式用!$AR$5:$AS$39,2, FALSE), "")</f>
        <v/>
      </c>
      <c r="AZ95" s="551" t="str">
        <f t="shared" si="47"/>
        <v/>
      </c>
      <c r="BA95" s="555" t="str">
        <f t="shared" si="39"/>
        <v>入力済</v>
      </c>
      <c r="BB95" s="534" t="str">
        <f>IFERROR(VLOOKUP(K95,【参考】数式用!$AX$3:$AY$59, 2, FALSE), "")</f>
        <v/>
      </c>
      <c r="BC95" s="551" t="str">
        <f t="shared" si="48"/>
        <v/>
      </c>
      <c r="BD95" s="555" t="str">
        <f t="shared" si="40"/>
        <v>入力済</v>
      </c>
      <c r="BE95" s="552" t="str">
        <f t="shared" si="49"/>
        <v/>
      </c>
      <c r="BF95" s="552" t="str">
        <f t="shared" si="41"/>
        <v/>
      </c>
    </row>
    <row r="96" spans="1:58" ht="109.95" customHeight="1" thickBot="1">
      <c r="A96" s="306">
        <v>83</v>
      </c>
      <c r="B96" s="646" t="str">
        <f>IF(基本情報入力シート!B118="","",基本情報入力シート!B118)</f>
        <v/>
      </c>
      <c r="C96" s="647"/>
      <c r="D96" s="647"/>
      <c r="E96" s="647"/>
      <c r="F96" s="648"/>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53" t="str">
        <f>IF(基本情報入力シート!AF118=0, "",基本情報入力シート!AF118)</f>
        <v/>
      </c>
      <c r="M96" s="581"/>
      <c r="N96" s="517" t="str">
        <f>IFERROR(VLOOKUP(K96,【参考】数式用!$A$2:$F$57,MATCH(M96,【参考】数式用!$C$3:$F$3,0)+2,0),"")</f>
        <v/>
      </c>
      <c r="O96" s="506"/>
      <c r="P96" s="549" t="str">
        <f>IFERROR(VLOOKUP(K96,【参考】数式用!$A$2:$F$57,MATCH(O96,【参考】数式用!$C$3:$F$3,0)+2,0),"")</f>
        <v/>
      </c>
      <c r="Q96" s="313" t="s">
        <v>113</v>
      </c>
      <c r="R96" s="311"/>
      <c r="S96" s="312" t="s">
        <v>178</v>
      </c>
      <c r="T96" s="311"/>
      <c r="U96" s="312" t="s">
        <v>179</v>
      </c>
      <c r="V96" s="311"/>
      <c r="W96" s="312" t="s">
        <v>178</v>
      </c>
      <c r="X96" s="311"/>
      <c r="Y96" s="312" t="s">
        <v>180</v>
      </c>
      <c r="Z96" s="312" t="s">
        <v>181</v>
      </c>
      <c r="AA96" s="312" t="str">
        <f t="shared" si="51"/>
        <v/>
      </c>
      <c r="AB96" s="308" t="s">
        <v>182</v>
      </c>
      <c r="AC96" s="309" t="str">
        <f t="shared" si="42"/>
        <v/>
      </c>
      <c r="AD96" s="510" t="str">
        <f t="shared" si="43"/>
        <v/>
      </c>
      <c r="AE96" s="310" t="str">
        <f>IFERROR(ROUNDDOWN(ROUNDDOWN(ROUND(L96*VLOOKUP(K96,【参考】数式用!$A$4:$F$57,MATCH("処遇改善加算Ⅳ",【参考】数式用!$C$3:$F$3,0)+2,0),0),0)*AA96*0.5,0), "")</f>
        <v/>
      </c>
      <c r="AF96" s="321"/>
      <c r="AG96" s="322"/>
      <c r="AH96" s="322"/>
      <c r="AI96" s="321"/>
      <c r="AJ96" s="323"/>
      <c r="AK96" s="329"/>
      <c r="AL96" s="327" t="str">
        <f t="shared" si="32"/>
        <v/>
      </c>
      <c r="AM96" s="328" t="str">
        <f t="shared" si="50"/>
        <v/>
      </c>
      <c r="AN96" s="258"/>
      <c r="AO96" s="551" t="str">
        <f>IFERROR(VLOOKUP(K96,【参考】数式用!$A$2:$N$57,14,FALSE),"")</f>
        <v/>
      </c>
      <c r="AP96" s="551" t="str">
        <f t="shared" si="33"/>
        <v/>
      </c>
      <c r="AQ96" s="556" t="str">
        <f t="shared" si="34"/>
        <v/>
      </c>
      <c r="AR96" s="534" t="str">
        <f t="shared" si="35"/>
        <v>入力済</v>
      </c>
      <c r="AS96" s="551" t="str">
        <f t="shared" si="44"/>
        <v/>
      </c>
      <c r="AT96" s="534" t="str">
        <f t="shared" si="36"/>
        <v>入力済</v>
      </c>
      <c r="AU96" s="534" t="str">
        <f t="shared" si="45"/>
        <v/>
      </c>
      <c r="AV96" s="534" t="str">
        <f t="shared" si="37"/>
        <v/>
      </c>
      <c r="AW96" s="551" t="str">
        <f t="shared" si="38"/>
        <v/>
      </c>
      <c r="AX96" s="551" t="str">
        <f t="shared" si="46"/>
        <v/>
      </c>
      <c r="AY96" s="534" t="str">
        <f>IFERROR(VLOOKUP(K96,【参考】数式用!$AR$5:$AS$39,2, FALSE), "")</f>
        <v/>
      </c>
      <c r="AZ96" s="551" t="str">
        <f t="shared" si="47"/>
        <v/>
      </c>
      <c r="BA96" s="555" t="str">
        <f t="shared" si="39"/>
        <v>入力済</v>
      </c>
      <c r="BB96" s="534" t="str">
        <f>IFERROR(VLOOKUP(K96,【参考】数式用!$AX$3:$AY$59, 2, FALSE), "")</f>
        <v/>
      </c>
      <c r="BC96" s="551" t="str">
        <f t="shared" si="48"/>
        <v/>
      </c>
      <c r="BD96" s="555" t="str">
        <f t="shared" si="40"/>
        <v>入力済</v>
      </c>
      <c r="BE96" s="552" t="str">
        <f t="shared" si="49"/>
        <v/>
      </c>
      <c r="BF96" s="552" t="str">
        <f t="shared" si="41"/>
        <v/>
      </c>
    </row>
    <row r="97" spans="1:58" ht="109.95" customHeight="1" thickBot="1">
      <c r="A97" s="306">
        <v>84</v>
      </c>
      <c r="B97" s="646" t="str">
        <f>IF(基本情報入力シート!B119="","",基本情報入力シート!B119)</f>
        <v/>
      </c>
      <c r="C97" s="647"/>
      <c r="D97" s="647"/>
      <c r="E97" s="647"/>
      <c r="F97" s="648"/>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53" t="str">
        <f>IF(基本情報入力シート!AF119=0, "",基本情報入力シート!AF119)</f>
        <v/>
      </c>
      <c r="M97" s="581"/>
      <c r="N97" s="517" t="str">
        <f>IFERROR(VLOOKUP(K97,【参考】数式用!$A$2:$F$57,MATCH(M97,【参考】数式用!$C$3:$F$3,0)+2,0),"")</f>
        <v/>
      </c>
      <c r="O97" s="506"/>
      <c r="P97" s="549" t="str">
        <f>IFERROR(VLOOKUP(K97,【参考】数式用!$A$2:$F$57,MATCH(O97,【参考】数式用!$C$3:$F$3,0)+2,0),"")</f>
        <v/>
      </c>
      <c r="Q97" s="313" t="s">
        <v>113</v>
      </c>
      <c r="R97" s="311"/>
      <c r="S97" s="312" t="s">
        <v>178</v>
      </c>
      <c r="T97" s="311"/>
      <c r="U97" s="312" t="s">
        <v>179</v>
      </c>
      <c r="V97" s="311"/>
      <c r="W97" s="312" t="s">
        <v>178</v>
      </c>
      <c r="X97" s="311"/>
      <c r="Y97" s="312" t="s">
        <v>180</v>
      </c>
      <c r="Z97" s="312" t="s">
        <v>181</v>
      </c>
      <c r="AA97" s="312" t="str">
        <f t="shared" si="51"/>
        <v/>
      </c>
      <c r="AB97" s="308" t="s">
        <v>182</v>
      </c>
      <c r="AC97" s="309" t="str">
        <f t="shared" si="42"/>
        <v/>
      </c>
      <c r="AD97" s="510" t="str">
        <f t="shared" si="43"/>
        <v/>
      </c>
      <c r="AE97" s="310" t="str">
        <f>IFERROR(ROUNDDOWN(ROUNDDOWN(ROUND(L97*VLOOKUP(K97,【参考】数式用!$A$4:$F$57,MATCH("処遇改善加算Ⅳ",【参考】数式用!$C$3:$F$3,0)+2,0),0),0)*AA97*0.5,0), "")</f>
        <v/>
      </c>
      <c r="AF97" s="321"/>
      <c r="AG97" s="322"/>
      <c r="AH97" s="322"/>
      <c r="AI97" s="321"/>
      <c r="AJ97" s="323"/>
      <c r="AK97" s="329"/>
      <c r="AL97" s="327" t="str">
        <f t="shared" si="32"/>
        <v/>
      </c>
      <c r="AM97" s="328" t="str">
        <f t="shared" si="50"/>
        <v/>
      </c>
      <c r="AN97" s="258"/>
      <c r="AO97" s="551" t="str">
        <f>IFERROR(VLOOKUP(K97,【参考】数式用!$A$2:$N$57,14,FALSE),"")</f>
        <v/>
      </c>
      <c r="AP97" s="551" t="str">
        <f t="shared" si="33"/>
        <v/>
      </c>
      <c r="AQ97" s="556" t="str">
        <f t="shared" si="34"/>
        <v/>
      </c>
      <c r="AR97" s="534" t="str">
        <f t="shared" si="35"/>
        <v>入力済</v>
      </c>
      <c r="AS97" s="551" t="str">
        <f t="shared" si="44"/>
        <v/>
      </c>
      <c r="AT97" s="534" t="str">
        <f t="shared" si="36"/>
        <v>入力済</v>
      </c>
      <c r="AU97" s="534" t="str">
        <f t="shared" si="45"/>
        <v/>
      </c>
      <c r="AV97" s="534" t="str">
        <f t="shared" si="37"/>
        <v/>
      </c>
      <c r="AW97" s="551" t="str">
        <f t="shared" si="38"/>
        <v/>
      </c>
      <c r="AX97" s="551" t="str">
        <f t="shared" si="46"/>
        <v/>
      </c>
      <c r="AY97" s="534" t="str">
        <f>IFERROR(VLOOKUP(K97,【参考】数式用!$AR$5:$AS$39,2, FALSE), "")</f>
        <v/>
      </c>
      <c r="AZ97" s="551" t="str">
        <f t="shared" si="47"/>
        <v/>
      </c>
      <c r="BA97" s="555" t="str">
        <f t="shared" si="39"/>
        <v>入力済</v>
      </c>
      <c r="BB97" s="534" t="str">
        <f>IFERROR(VLOOKUP(K97,【参考】数式用!$AX$3:$AY$59, 2, FALSE), "")</f>
        <v/>
      </c>
      <c r="BC97" s="551" t="str">
        <f t="shared" si="48"/>
        <v/>
      </c>
      <c r="BD97" s="555" t="str">
        <f t="shared" si="40"/>
        <v>入力済</v>
      </c>
      <c r="BE97" s="552" t="str">
        <f t="shared" si="49"/>
        <v/>
      </c>
      <c r="BF97" s="552" t="str">
        <f t="shared" si="41"/>
        <v/>
      </c>
    </row>
    <row r="98" spans="1:58" ht="109.95" customHeight="1" thickBot="1">
      <c r="A98" s="306">
        <v>85</v>
      </c>
      <c r="B98" s="646" t="str">
        <f>IF(基本情報入力シート!B120="","",基本情報入力シート!B120)</f>
        <v/>
      </c>
      <c r="C98" s="647"/>
      <c r="D98" s="647"/>
      <c r="E98" s="647"/>
      <c r="F98" s="648"/>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53" t="str">
        <f>IF(基本情報入力シート!AF120=0, "",基本情報入力シート!AF120)</f>
        <v/>
      </c>
      <c r="M98" s="581"/>
      <c r="N98" s="517" t="str">
        <f>IFERROR(VLOOKUP(K98,【参考】数式用!$A$2:$F$57,MATCH(M98,【参考】数式用!$C$3:$F$3,0)+2,0),"")</f>
        <v/>
      </c>
      <c r="O98" s="506"/>
      <c r="P98" s="549" t="str">
        <f>IFERROR(VLOOKUP(K98,【参考】数式用!$A$2:$F$57,MATCH(O98,【参考】数式用!$C$3:$F$3,0)+2,0),"")</f>
        <v/>
      </c>
      <c r="Q98" s="313" t="s">
        <v>113</v>
      </c>
      <c r="R98" s="311"/>
      <c r="S98" s="312" t="s">
        <v>178</v>
      </c>
      <c r="T98" s="311"/>
      <c r="U98" s="312" t="s">
        <v>179</v>
      </c>
      <c r="V98" s="311"/>
      <c r="W98" s="312" t="s">
        <v>178</v>
      </c>
      <c r="X98" s="311"/>
      <c r="Y98" s="312" t="s">
        <v>180</v>
      </c>
      <c r="Z98" s="312" t="s">
        <v>181</v>
      </c>
      <c r="AA98" s="312" t="str">
        <f t="shared" si="51"/>
        <v/>
      </c>
      <c r="AB98" s="308" t="s">
        <v>182</v>
      </c>
      <c r="AC98" s="309" t="str">
        <f t="shared" si="42"/>
        <v/>
      </c>
      <c r="AD98" s="510" t="str">
        <f t="shared" si="43"/>
        <v/>
      </c>
      <c r="AE98" s="310" t="str">
        <f>IFERROR(ROUNDDOWN(ROUNDDOWN(ROUND(L98*VLOOKUP(K98,【参考】数式用!$A$4:$F$57,MATCH("処遇改善加算Ⅳ",【参考】数式用!$C$3:$F$3,0)+2,0),0),0)*AA98*0.5,0), "")</f>
        <v/>
      </c>
      <c r="AF98" s="321"/>
      <c r="AG98" s="322"/>
      <c r="AH98" s="322"/>
      <c r="AI98" s="321"/>
      <c r="AJ98" s="323"/>
      <c r="AK98" s="329"/>
      <c r="AL98" s="327" t="str">
        <f t="shared" si="32"/>
        <v/>
      </c>
      <c r="AM98" s="328" t="str">
        <f t="shared" si="50"/>
        <v/>
      </c>
      <c r="AN98" s="258"/>
      <c r="AO98" s="551" t="str">
        <f>IFERROR(VLOOKUP(K98,【参考】数式用!$A$2:$N$57,14,FALSE),"")</f>
        <v/>
      </c>
      <c r="AP98" s="551" t="str">
        <f t="shared" si="33"/>
        <v/>
      </c>
      <c r="AQ98" s="556" t="str">
        <f t="shared" si="34"/>
        <v/>
      </c>
      <c r="AR98" s="534" t="str">
        <f t="shared" si="35"/>
        <v>入力済</v>
      </c>
      <c r="AS98" s="551" t="str">
        <f t="shared" si="44"/>
        <v/>
      </c>
      <c r="AT98" s="534" t="str">
        <f t="shared" si="36"/>
        <v>入力済</v>
      </c>
      <c r="AU98" s="534" t="str">
        <f t="shared" si="45"/>
        <v/>
      </c>
      <c r="AV98" s="534" t="str">
        <f t="shared" si="37"/>
        <v/>
      </c>
      <c r="AW98" s="551" t="str">
        <f t="shared" si="38"/>
        <v/>
      </c>
      <c r="AX98" s="551" t="str">
        <f t="shared" si="46"/>
        <v/>
      </c>
      <c r="AY98" s="534" t="str">
        <f>IFERROR(VLOOKUP(K98,【参考】数式用!$AR$5:$AS$39,2, FALSE), "")</f>
        <v/>
      </c>
      <c r="AZ98" s="551" t="str">
        <f t="shared" si="47"/>
        <v/>
      </c>
      <c r="BA98" s="555" t="str">
        <f t="shared" si="39"/>
        <v>入力済</v>
      </c>
      <c r="BB98" s="534" t="str">
        <f>IFERROR(VLOOKUP(K98,【参考】数式用!$AX$3:$AY$59, 2, FALSE), "")</f>
        <v/>
      </c>
      <c r="BC98" s="551" t="str">
        <f t="shared" si="48"/>
        <v/>
      </c>
      <c r="BD98" s="555" t="str">
        <f t="shared" si="40"/>
        <v>入力済</v>
      </c>
      <c r="BE98" s="552" t="str">
        <f t="shared" si="49"/>
        <v/>
      </c>
      <c r="BF98" s="552" t="str">
        <f t="shared" si="41"/>
        <v/>
      </c>
    </row>
    <row r="99" spans="1:58" ht="109.95" customHeight="1" thickBot="1">
      <c r="A99" s="306">
        <v>86</v>
      </c>
      <c r="B99" s="646" t="str">
        <f>IF(基本情報入力シート!B121="","",基本情報入力シート!B121)</f>
        <v/>
      </c>
      <c r="C99" s="647"/>
      <c r="D99" s="647"/>
      <c r="E99" s="647"/>
      <c r="F99" s="648"/>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53" t="str">
        <f>IF(基本情報入力シート!AF121=0, "",基本情報入力シート!AF121)</f>
        <v/>
      </c>
      <c r="M99" s="581"/>
      <c r="N99" s="517" t="str">
        <f>IFERROR(VLOOKUP(K99,【参考】数式用!$A$2:$F$57,MATCH(M99,【参考】数式用!$C$3:$F$3,0)+2,0),"")</f>
        <v/>
      </c>
      <c r="O99" s="506"/>
      <c r="P99" s="549" t="str">
        <f>IFERROR(VLOOKUP(K99,【参考】数式用!$A$2:$F$57,MATCH(O99,【参考】数式用!$C$3:$F$3,0)+2,0),"")</f>
        <v/>
      </c>
      <c r="Q99" s="313" t="s">
        <v>113</v>
      </c>
      <c r="R99" s="311"/>
      <c r="S99" s="312" t="s">
        <v>178</v>
      </c>
      <c r="T99" s="311"/>
      <c r="U99" s="312" t="s">
        <v>179</v>
      </c>
      <c r="V99" s="311"/>
      <c r="W99" s="312" t="s">
        <v>178</v>
      </c>
      <c r="X99" s="311"/>
      <c r="Y99" s="312" t="s">
        <v>180</v>
      </c>
      <c r="Z99" s="312" t="s">
        <v>181</v>
      </c>
      <c r="AA99" s="312" t="str">
        <f t="shared" si="51"/>
        <v/>
      </c>
      <c r="AB99" s="308" t="s">
        <v>182</v>
      </c>
      <c r="AC99" s="309" t="str">
        <f t="shared" si="42"/>
        <v/>
      </c>
      <c r="AD99" s="510" t="str">
        <f t="shared" si="43"/>
        <v/>
      </c>
      <c r="AE99" s="310" t="str">
        <f>IFERROR(ROUNDDOWN(ROUNDDOWN(ROUND(L99*VLOOKUP(K99,【参考】数式用!$A$4:$F$57,MATCH("処遇改善加算Ⅳ",【参考】数式用!$C$3:$F$3,0)+2,0),0),0)*AA99*0.5,0), "")</f>
        <v/>
      </c>
      <c r="AF99" s="321"/>
      <c r="AG99" s="322"/>
      <c r="AH99" s="322"/>
      <c r="AI99" s="321"/>
      <c r="AJ99" s="323"/>
      <c r="AK99" s="329"/>
      <c r="AL99" s="327" t="str">
        <f t="shared" si="32"/>
        <v/>
      </c>
      <c r="AM99" s="328" t="str">
        <f t="shared" si="50"/>
        <v/>
      </c>
      <c r="AN99" s="258"/>
      <c r="AO99" s="551" t="str">
        <f>IFERROR(VLOOKUP(K99,【参考】数式用!$A$2:$N$57,14,FALSE),"")</f>
        <v/>
      </c>
      <c r="AP99" s="551" t="str">
        <f t="shared" si="33"/>
        <v/>
      </c>
      <c r="AQ99" s="556" t="str">
        <f t="shared" si="34"/>
        <v/>
      </c>
      <c r="AR99" s="534" t="str">
        <f t="shared" si="35"/>
        <v>入力済</v>
      </c>
      <c r="AS99" s="551" t="str">
        <f t="shared" si="44"/>
        <v/>
      </c>
      <c r="AT99" s="534" t="str">
        <f t="shared" si="36"/>
        <v>入力済</v>
      </c>
      <c r="AU99" s="534" t="str">
        <f t="shared" si="45"/>
        <v/>
      </c>
      <c r="AV99" s="534" t="str">
        <f t="shared" si="37"/>
        <v/>
      </c>
      <c r="AW99" s="551" t="str">
        <f t="shared" si="38"/>
        <v/>
      </c>
      <c r="AX99" s="551" t="str">
        <f t="shared" si="46"/>
        <v/>
      </c>
      <c r="AY99" s="534" t="str">
        <f>IFERROR(VLOOKUP(K99,【参考】数式用!$AR$5:$AS$39,2, FALSE), "")</f>
        <v/>
      </c>
      <c r="AZ99" s="551" t="str">
        <f t="shared" si="47"/>
        <v/>
      </c>
      <c r="BA99" s="555" t="str">
        <f t="shared" si="39"/>
        <v>入力済</v>
      </c>
      <c r="BB99" s="534" t="str">
        <f>IFERROR(VLOOKUP(K99,【参考】数式用!$AX$3:$AY$59, 2, FALSE), "")</f>
        <v/>
      </c>
      <c r="BC99" s="551" t="str">
        <f t="shared" si="48"/>
        <v/>
      </c>
      <c r="BD99" s="555" t="str">
        <f t="shared" si="40"/>
        <v>入力済</v>
      </c>
      <c r="BE99" s="552" t="str">
        <f t="shared" si="49"/>
        <v/>
      </c>
      <c r="BF99" s="552" t="str">
        <f t="shared" si="41"/>
        <v/>
      </c>
    </row>
    <row r="100" spans="1:58" ht="109.95" customHeight="1" thickBot="1">
      <c r="A100" s="306">
        <v>87</v>
      </c>
      <c r="B100" s="646" t="str">
        <f>IF(基本情報入力シート!B122="","",基本情報入力シート!B122)</f>
        <v/>
      </c>
      <c r="C100" s="647"/>
      <c r="D100" s="647"/>
      <c r="E100" s="647"/>
      <c r="F100" s="648"/>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53" t="str">
        <f>IF(基本情報入力シート!AF122=0, "",基本情報入力シート!AF122)</f>
        <v/>
      </c>
      <c r="M100" s="581"/>
      <c r="N100" s="517" t="str">
        <f>IFERROR(VLOOKUP(K100,【参考】数式用!$A$2:$F$57,MATCH(M100,【参考】数式用!$C$3:$F$3,0)+2,0),"")</f>
        <v/>
      </c>
      <c r="O100" s="506"/>
      <c r="P100" s="549" t="str">
        <f>IFERROR(VLOOKUP(K100,【参考】数式用!$A$2:$F$57,MATCH(O100,【参考】数式用!$C$3:$F$3,0)+2,0),"")</f>
        <v/>
      </c>
      <c r="Q100" s="313" t="s">
        <v>113</v>
      </c>
      <c r="R100" s="311"/>
      <c r="S100" s="312" t="s">
        <v>178</v>
      </c>
      <c r="T100" s="311"/>
      <c r="U100" s="312" t="s">
        <v>179</v>
      </c>
      <c r="V100" s="311"/>
      <c r="W100" s="312" t="s">
        <v>178</v>
      </c>
      <c r="X100" s="311"/>
      <c r="Y100" s="312" t="s">
        <v>180</v>
      </c>
      <c r="Z100" s="312" t="s">
        <v>181</v>
      </c>
      <c r="AA100" s="312" t="str">
        <f t="shared" si="51"/>
        <v/>
      </c>
      <c r="AB100" s="308" t="s">
        <v>182</v>
      </c>
      <c r="AC100" s="309" t="str">
        <f t="shared" si="42"/>
        <v/>
      </c>
      <c r="AD100" s="510" t="str">
        <f t="shared" si="43"/>
        <v/>
      </c>
      <c r="AE100" s="310" t="str">
        <f>IFERROR(ROUNDDOWN(ROUNDDOWN(ROUND(L100*VLOOKUP(K100,【参考】数式用!$A$4:$F$57,MATCH("処遇改善加算Ⅳ",【参考】数式用!$C$3:$F$3,0)+2,0),0),0)*AA100*0.5,0), "")</f>
        <v/>
      </c>
      <c r="AF100" s="321"/>
      <c r="AG100" s="322"/>
      <c r="AH100" s="322"/>
      <c r="AI100" s="321"/>
      <c r="AJ100" s="323"/>
      <c r="AK100" s="329"/>
      <c r="AL100" s="327" t="str">
        <f t="shared" si="32"/>
        <v/>
      </c>
      <c r="AM100" s="328" t="str">
        <f t="shared" si="50"/>
        <v/>
      </c>
      <c r="AN100" s="258"/>
      <c r="AO100" s="551" t="str">
        <f>IFERROR(VLOOKUP(K100,【参考】数式用!$A$2:$N$57,14,FALSE),"")</f>
        <v/>
      </c>
      <c r="AP100" s="551" t="str">
        <f t="shared" si="33"/>
        <v/>
      </c>
      <c r="AQ100" s="556" t="str">
        <f t="shared" si="34"/>
        <v/>
      </c>
      <c r="AR100" s="534" t="str">
        <f t="shared" si="35"/>
        <v>入力済</v>
      </c>
      <c r="AS100" s="551" t="str">
        <f t="shared" si="44"/>
        <v/>
      </c>
      <c r="AT100" s="534" t="str">
        <f t="shared" si="36"/>
        <v>入力済</v>
      </c>
      <c r="AU100" s="534" t="str">
        <f t="shared" si="45"/>
        <v/>
      </c>
      <c r="AV100" s="534" t="str">
        <f t="shared" si="37"/>
        <v/>
      </c>
      <c r="AW100" s="551" t="str">
        <f t="shared" si="38"/>
        <v/>
      </c>
      <c r="AX100" s="551" t="str">
        <f t="shared" si="46"/>
        <v/>
      </c>
      <c r="AY100" s="534" t="str">
        <f>IFERROR(VLOOKUP(K100,【参考】数式用!$AR$5:$AS$39,2, FALSE), "")</f>
        <v/>
      </c>
      <c r="AZ100" s="551" t="str">
        <f t="shared" si="47"/>
        <v/>
      </c>
      <c r="BA100" s="555" t="str">
        <f t="shared" si="39"/>
        <v>入力済</v>
      </c>
      <c r="BB100" s="534" t="str">
        <f>IFERROR(VLOOKUP(K100,【参考】数式用!$AX$3:$AY$59, 2, FALSE), "")</f>
        <v/>
      </c>
      <c r="BC100" s="551" t="str">
        <f t="shared" si="48"/>
        <v/>
      </c>
      <c r="BD100" s="555" t="str">
        <f t="shared" si="40"/>
        <v>入力済</v>
      </c>
      <c r="BE100" s="552" t="str">
        <f t="shared" si="49"/>
        <v/>
      </c>
      <c r="BF100" s="552" t="str">
        <f t="shared" si="41"/>
        <v/>
      </c>
    </row>
    <row r="101" spans="1:58" ht="109.95" customHeight="1" thickBot="1">
      <c r="A101" s="306">
        <v>88</v>
      </c>
      <c r="B101" s="646" t="str">
        <f>IF(基本情報入力シート!B123="","",基本情報入力シート!B123)</f>
        <v/>
      </c>
      <c r="C101" s="647"/>
      <c r="D101" s="647"/>
      <c r="E101" s="647"/>
      <c r="F101" s="648"/>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53" t="str">
        <f>IF(基本情報入力シート!AF123=0, "",基本情報入力シート!AF123)</f>
        <v/>
      </c>
      <c r="M101" s="581"/>
      <c r="N101" s="517" t="str">
        <f>IFERROR(VLOOKUP(K101,【参考】数式用!$A$2:$F$57,MATCH(M101,【参考】数式用!$C$3:$F$3,0)+2,0),"")</f>
        <v/>
      </c>
      <c r="O101" s="506"/>
      <c r="P101" s="549" t="str">
        <f>IFERROR(VLOOKUP(K101,【参考】数式用!$A$2:$F$57,MATCH(O101,【参考】数式用!$C$3:$F$3,0)+2,0),"")</f>
        <v/>
      </c>
      <c r="Q101" s="313" t="s">
        <v>113</v>
      </c>
      <c r="R101" s="311"/>
      <c r="S101" s="312" t="s">
        <v>178</v>
      </c>
      <c r="T101" s="311"/>
      <c r="U101" s="312" t="s">
        <v>179</v>
      </c>
      <c r="V101" s="311"/>
      <c r="W101" s="312" t="s">
        <v>178</v>
      </c>
      <c r="X101" s="311"/>
      <c r="Y101" s="312" t="s">
        <v>180</v>
      </c>
      <c r="Z101" s="312" t="s">
        <v>181</v>
      </c>
      <c r="AA101" s="312" t="str">
        <f t="shared" si="51"/>
        <v/>
      </c>
      <c r="AB101" s="308" t="s">
        <v>182</v>
      </c>
      <c r="AC101" s="309" t="str">
        <f t="shared" si="42"/>
        <v/>
      </c>
      <c r="AD101" s="510" t="str">
        <f t="shared" si="43"/>
        <v/>
      </c>
      <c r="AE101" s="310" t="str">
        <f>IFERROR(ROUNDDOWN(ROUNDDOWN(ROUND(L101*VLOOKUP(K101,【参考】数式用!$A$4:$F$57,MATCH("処遇改善加算Ⅳ",【参考】数式用!$C$3:$F$3,0)+2,0),0),0)*AA101*0.5,0), "")</f>
        <v/>
      </c>
      <c r="AF101" s="321"/>
      <c r="AG101" s="322"/>
      <c r="AH101" s="322"/>
      <c r="AI101" s="321"/>
      <c r="AJ101" s="323"/>
      <c r="AK101" s="329"/>
      <c r="AL101" s="327" t="str">
        <f t="shared" si="32"/>
        <v/>
      </c>
      <c r="AM101" s="328" t="str">
        <f t="shared" si="50"/>
        <v/>
      </c>
      <c r="AN101" s="258"/>
      <c r="AO101" s="551" t="str">
        <f>IFERROR(VLOOKUP(K101,【参考】数式用!$A$2:$N$57,14,FALSE),"")</f>
        <v/>
      </c>
      <c r="AP101" s="551" t="str">
        <f t="shared" si="33"/>
        <v/>
      </c>
      <c r="AQ101" s="556" t="str">
        <f t="shared" si="34"/>
        <v/>
      </c>
      <c r="AR101" s="534" t="str">
        <f t="shared" si="35"/>
        <v>入力済</v>
      </c>
      <c r="AS101" s="551" t="str">
        <f t="shared" si="44"/>
        <v/>
      </c>
      <c r="AT101" s="534" t="str">
        <f t="shared" si="36"/>
        <v>入力済</v>
      </c>
      <c r="AU101" s="534" t="str">
        <f t="shared" si="45"/>
        <v/>
      </c>
      <c r="AV101" s="534" t="str">
        <f t="shared" si="37"/>
        <v/>
      </c>
      <c r="AW101" s="551" t="str">
        <f t="shared" si="38"/>
        <v/>
      </c>
      <c r="AX101" s="551" t="str">
        <f t="shared" si="46"/>
        <v/>
      </c>
      <c r="AY101" s="534" t="str">
        <f>IFERROR(VLOOKUP(K101,【参考】数式用!$AR$5:$AS$39,2, FALSE), "")</f>
        <v/>
      </c>
      <c r="AZ101" s="551" t="str">
        <f t="shared" si="47"/>
        <v/>
      </c>
      <c r="BA101" s="555" t="str">
        <f t="shared" si="39"/>
        <v>入力済</v>
      </c>
      <c r="BB101" s="534" t="str">
        <f>IFERROR(VLOOKUP(K101,【参考】数式用!$AX$3:$AY$59, 2, FALSE), "")</f>
        <v/>
      </c>
      <c r="BC101" s="551" t="str">
        <f t="shared" si="48"/>
        <v/>
      </c>
      <c r="BD101" s="555" t="str">
        <f t="shared" si="40"/>
        <v>入力済</v>
      </c>
      <c r="BE101" s="552" t="str">
        <f t="shared" si="49"/>
        <v/>
      </c>
      <c r="BF101" s="552" t="str">
        <f t="shared" si="41"/>
        <v/>
      </c>
    </row>
    <row r="102" spans="1:58" ht="109.95" customHeight="1" thickBot="1">
      <c r="A102" s="306">
        <v>89</v>
      </c>
      <c r="B102" s="646" t="str">
        <f>IF(基本情報入力シート!B124="","",基本情報入力シート!B124)</f>
        <v/>
      </c>
      <c r="C102" s="647"/>
      <c r="D102" s="647"/>
      <c r="E102" s="647"/>
      <c r="F102" s="648"/>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53" t="str">
        <f>IF(基本情報入力シート!AF124=0, "",基本情報入力シート!AF124)</f>
        <v/>
      </c>
      <c r="M102" s="581"/>
      <c r="N102" s="517" t="str">
        <f>IFERROR(VLOOKUP(K102,【参考】数式用!$A$2:$F$57,MATCH(M102,【参考】数式用!$C$3:$F$3,0)+2,0),"")</f>
        <v/>
      </c>
      <c r="O102" s="506"/>
      <c r="P102" s="549" t="str">
        <f>IFERROR(VLOOKUP(K102,【参考】数式用!$A$2:$F$57,MATCH(O102,【参考】数式用!$C$3:$F$3,0)+2,0),"")</f>
        <v/>
      </c>
      <c r="Q102" s="313" t="s">
        <v>113</v>
      </c>
      <c r="R102" s="311"/>
      <c r="S102" s="312" t="s">
        <v>178</v>
      </c>
      <c r="T102" s="311"/>
      <c r="U102" s="312" t="s">
        <v>179</v>
      </c>
      <c r="V102" s="311"/>
      <c r="W102" s="312" t="s">
        <v>178</v>
      </c>
      <c r="X102" s="311"/>
      <c r="Y102" s="312" t="s">
        <v>180</v>
      </c>
      <c r="Z102" s="312" t="s">
        <v>181</v>
      </c>
      <c r="AA102" s="312" t="str">
        <f t="shared" si="51"/>
        <v/>
      </c>
      <c r="AB102" s="308" t="s">
        <v>182</v>
      </c>
      <c r="AC102" s="309" t="str">
        <f t="shared" si="42"/>
        <v/>
      </c>
      <c r="AD102" s="510" t="str">
        <f t="shared" si="43"/>
        <v/>
      </c>
      <c r="AE102" s="310" t="str">
        <f>IFERROR(ROUNDDOWN(ROUNDDOWN(ROUND(L102*VLOOKUP(K102,【参考】数式用!$A$4:$F$57,MATCH("処遇改善加算Ⅳ",【参考】数式用!$C$3:$F$3,0)+2,0),0),0)*AA102*0.5,0), "")</f>
        <v/>
      </c>
      <c r="AF102" s="321"/>
      <c r="AG102" s="322"/>
      <c r="AH102" s="322"/>
      <c r="AI102" s="321"/>
      <c r="AJ102" s="323"/>
      <c r="AK102" s="329"/>
      <c r="AL102" s="327" t="str">
        <f t="shared" si="32"/>
        <v/>
      </c>
      <c r="AM102" s="328" t="str">
        <f t="shared" si="50"/>
        <v/>
      </c>
      <c r="AN102" s="258"/>
      <c r="AO102" s="551" t="str">
        <f>IFERROR(VLOOKUP(K102,【参考】数式用!$A$2:$N$57,14,FALSE),"")</f>
        <v/>
      </c>
      <c r="AP102" s="551" t="str">
        <f t="shared" si="33"/>
        <v/>
      </c>
      <c r="AQ102" s="556" t="str">
        <f t="shared" si="34"/>
        <v/>
      </c>
      <c r="AR102" s="534" t="str">
        <f t="shared" si="35"/>
        <v>入力済</v>
      </c>
      <c r="AS102" s="551" t="str">
        <f t="shared" si="44"/>
        <v/>
      </c>
      <c r="AT102" s="534" t="str">
        <f t="shared" si="36"/>
        <v>入力済</v>
      </c>
      <c r="AU102" s="534" t="str">
        <f t="shared" si="45"/>
        <v/>
      </c>
      <c r="AV102" s="534" t="str">
        <f t="shared" si="37"/>
        <v/>
      </c>
      <c r="AW102" s="551" t="str">
        <f t="shared" si="38"/>
        <v/>
      </c>
      <c r="AX102" s="551" t="str">
        <f t="shared" si="46"/>
        <v/>
      </c>
      <c r="AY102" s="534" t="str">
        <f>IFERROR(VLOOKUP(K102,【参考】数式用!$AR$5:$AS$39,2, FALSE), "")</f>
        <v/>
      </c>
      <c r="AZ102" s="551" t="str">
        <f t="shared" si="47"/>
        <v/>
      </c>
      <c r="BA102" s="555" t="str">
        <f t="shared" si="39"/>
        <v>入力済</v>
      </c>
      <c r="BB102" s="534" t="str">
        <f>IFERROR(VLOOKUP(K102,【参考】数式用!$AX$3:$AY$59, 2, FALSE), "")</f>
        <v/>
      </c>
      <c r="BC102" s="551" t="str">
        <f t="shared" si="48"/>
        <v/>
      </c>
      <c r="BD102" s="555" t="str">
        <f t="shared" si="40"/>
        <v>入力済</v>
      </c>
      <c r="BE102" s="552" t="str">
        <f t="shared" si="49"/>
        <v/>
      </c>
      <c r="BF102" s="552" t="str">
        <f t="shared" si="41"/>
        <v/>
      </c>
    </row>
    <row r="103" spans="1:58" ht="109.95" customHeight="1" thickBot="1">
      <c r="A103" s="306">
        <v>90</v>
      </c>
      <c r="B103" s="646" t="str">
        <f>IF(基本情報入力シート!B125="","",基本情報入力シート!B125)</f>
        <v/>
      </c>
      <c r="C103" s="647"/>
      <c r="D103" s="647"/>
      <c r="E103" s="647"/>
      <c r="F103" s="648"/>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53" t="str">
        <f>IF(基本情報入力シート!AF125=0, "",基本情報入力シート!AF125)</f>
        <v/>
      </c>
      <c r="M103" s="581"/>
      <c r="N103" s="517" t="str">
        <f>IFERROR(VLOOKUP(K103,【参考】数式用!$A$2:$F$57,MATCH(M103,【参考】数式用!$C$3:$F$3,0)+2,0),"")</f>
        <v/>
      </c>
      <c r="O103" s="506"/>
      <c r="P103" s="549" t="str">
        <f>IFERROR(VLOOKUP(K103,【参考】数式用!$A$2:$F$57,MATCH(O103,【参考】数式用!$C$3:$F$3,0)+2,0),"")</f>
        <v/>
      </c>
      <c r="Q103" s="313" t="s">
        <v>113</v>
      </c>
      <c r="R103" s="311"/>
      <c r="S103" s="312" t="s">
        <v>178</v>
      </c>
      <c r="T103" s="311"/>
      <c r="U103" s="312" t="s">
        <v>179</v>
      </c>
      <c r="V103" s="311"/>
      <c r="W103" s="312" t="s">
        <v>178</v>
      </c>
      <c r="X103" s="311"/>
      <c r="Y103" s="312" t="s">
        <v>180</v>
      </c>
      <c r="Z103" s="312" t="s">
        <v>181</v>
      </c>
      <c r="AA103" s="312" t="str">
        <f t="shared" si="51"/>
        <v/>
      </c>
      <c r="AB103" s="308" t="s">
        <v>182</v>
      </c>
      <c r="AC103" s="309" t="str">
        <f t="shared" si="42"/>
        <v/>
      </c>
      <c r="AD103" s="510" t="str">
        <f t="shared" si="43"/>
        <v/>
      </c>
      <c r="AE103" s="310" t="str">
        <f>IFERROR(ROUNDDOWN(ROUNDDOWN(ROUND(L103*VLOOKUP(K103,【参考】数式用!$A$4:$F$57,MATCH("処遇改善加算Ⅳ",【参考】数式用!$C$3:$F$3,0)+2,0),0),0)*AA103*0.5,0), "")</f>
        <v/>
      </c>
      <c r="AF103" s="321"/>
      <c r="AG103" s="322"/>
      <c r="AH103" s="322"/>
      <c r="AI103" s="321"/>
      <c r="AJ103" s="323"/>
      <c r="AK103" s="329"/>
      <c r="AL103" s="327" t="str">
        <f t="shared" si="32"/>
        <v/>
      </c>
      <c r="AM103" s="328" t="str">
        <f t="shared" si="50"/>
        <v/>
      </c>
      <c r="AN103" s="258"/>
      <c r="AO103" s="551" t="str">
        <f>IFERROR(VLOOKUP(K103,【参考】数式用!$A$2:$N$57,14,FALSE),"")</f>
        <v/>
      </c>
      <c r="AP103" s="551" t="str">
        <f t="shared" si="33"/>
        <v/>
      </c>
      <c r="AQ103" s="556" t="str">
        <f t="shared" si="34"/>
        <v/>
      </c>
      <c r="AR103" s="534" t="str">
        <f t="shared" si="35"/>
        <v>入力済</v>
      </c>
      <c r="AS103" s="551" t="str">
        <f t="shared" si="44"/>
        <v/>
      </c>
      <c r="AT103" s="534" t="str">
        <f t="shared" si="36"/>
        <v>入力済</v>
      </c>
      <c r="AU103" s="534" t="str">
        <f t="shared" si="45"/>
        <v/>
      </c>
      <c r="AV103" s="534" t="str">
        <f t="shared" si="37"/>
        <v/>
      </c>
      <c r="AW103" s="551" t="str">
        <f t="shared" si="38"/>
        <v/>
      </c>
      <c r="AX103" s="551" t="str">
        <f t="shared" si="46"/>
        <v/>
      </c>
      <c r="AY103" s="534" t="str">
        <f>IFERROR(VLOOKUP(K103,【参考】数式用!$AR$5:$AS$39,2, FALSE), "")</f>
        <v/>
      </c>
      <c r="AZ103" s="551" t="str">
        <f t="shared" si="47"/>
        <v/>
      </c>
      <c r="BA103" s="555" t="str">
        <f t="shared" si="39"/>
        <v>入力済</v>
      </c>
      <c r="BB103" s="534" t="str">
        <f>IFERROR(VLOOKUP(K103,【参考】数式用!$AX$3:$AY$59, 2, FALSE), "")</f>
        <v/>
      </c>
      <c r="BC103" s="551" t="str">
        <f t="shared" si="48"/>
        <v/>
      </c>
      <c r="BD103" s="555" t="str">
        <f t="shared" si="40"/>
        <v>入力済</v>
      </c>
      <c r="BE103" s="552" t="str">
        <f t="shared" si="49"/>
        <v/>
      </c>
      <c r="BF103" s="552" t="str">
        <f t="shared" si="41"/>
        <v/>
      </c>
    </row>
    <row r="104" spans="1:58" ht="109.95" customHeight="1" thickBot="1">
      <c r="A104" s="306">
        <v>91</v>
      </c>
      <c r="B104" s="646" t="str">
        <f>IF(基本情報入力シート!B126="","",基本情報入力シート!B126)</f>
        <v/>
      </c>
      <c r="C104" s="647"/>
      <c r="D104" s="647"/>
      <c r="E104" s="647"/>
      <c r="F104" s="648"/>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53" t="str">
        <f>IF(基本情報入力シート!AF126=0, "",基本情報入力シート!AF126)</f>
        <v/>
      </c>
      <c r="M104" s="581"/>
      <c r="N104" s="517" t="str">
        <f>IFERROR(VLOOKUP(K104,【参考】数式用!$A$2:$F$57,MATCH(M104,【参考】数式用!$C$3:$F$3,0)+2,0),"")</f>
        <v/>
      </c>
      <c r="O104" s="506"/>
      <c r="P104" s="549" t="str">
        <f>IFERROR(VLOOKUP(K104,【参考】数式用!$A$2:$F$57,MATCH(O104,【参考】数式用!$C$3:$F$3,0)+2,0),"")</f>
        <v/>
      </c>
      <c r="Q104" s="313" t="s">
        <v>113</v>
      </c>
      <c r="R104" s="311"/>
      <c r="S104" s="312" t="s">
        <v>178</v>
      </c>
      <c r="T104" s="311"/>
      <c r="U104" s="312" t="s">
        <v>179</v>
      </c>
      <c r="V104" s="311"/>
      <c r="W104" s="312" t="s">
        <v>178</v>
      </c>
      <c r="X104" s="311"/>
      <c r="Y104" s="312" t="s">
        <v>180</v>
      </c>
      <c r="Z104" s="312" t="s">
        <v>181</v>
      </c>
      <c r="AA104" s="312" t="str">
        <f t="shared" si="51"/>
        <v/>
      </c>
      <c r="AB104" s="308" t="s">
        <v>182</v>
      </c>
      <c r="AC104" s="309" t="str">
        <f t="shared" si="42"/>
        <v/>
      </c>
      <c r="AD104" s="510" t="str">
        <f t="shared" si="43"/>
        <v/>
      </c>
      <c r="AE104" s="310" t="str">
        <f>IFERROR(ROUNDDOWN(ROUNDDOWN(ROUND(L104*VLOOKUP(K104,【参考】数式用!$A$4:$F$57,MATCH("処遇改善加算Ⅳ",【参考】数式用!$C$3:$F$3,0)+2,0),0),0)*AA104*0.5,0), "")</f>
        <v/>
      </c>
      <c r="AF104" s="321"/>
      <c r="AG104" s="322"/>
      <c r="AH104" s="322"/>
      <c r="AI104" s="321"/>
      <c r="AJ104" s="323"/>
      <c r="AK104" s="329"/>
      <c r="AL104" s="327" t="str">
        <f t="shared" si="32"/>
        <v/>
      </c>
      <c r="AM104" s="328" t="str">
        <f t="shared" si="50"/>
        <v/>
      </c>
      <c r="AN104" s="258"/>
      <c r="AO104" s="551" t="str">
        <f>IFERROR(VLOOKUP(K104,【参考】数式用!$A$2:$N$57,14,FALSE),"")</f>
        <v/>
      </c>
      <c r="AP104" s="551" t="str">
        <f t="shared" si="33"/>
        <v/>
      </c>
      <c r="AQ104" s="556" t="str">
        <f t="shared" si="34"/>
        <v/>
      </c>
      <c r="AR104" s="534" t="str">
        <f t="shared" si="35"/>
        <v>入力済</v>
      </c>
      <c r="AS104" s="551" t="str">
        <f t="shared" si="44"/>
        <v/>
      </c>
      <c r="AT104" s="534" t="str">
        <f t="shared" si="36"/>
        <v>入力済</v>
      </c>
      <c r="AU104" s="534" t="str">
        <f t="shared" si="45"/>
        <v/>
      </c>
      <c r="AV104" s="534" t="str">
        <f t="shared" si="37"/>
        <v/>
      </c>
      <c r="AW104" s="551" t="str">
        <f t="shared" si="38"/>
        <v/>
      </c>
      <c r="AX104" s="551" t="str">
        <f t="shared" si="46"/>
        <v/>
      </c>
      <c r="AY104" s="534" t="str">
        <f>IFERROR(VLOOKUP(K104,【参考】数式用!$AR$5:$AS$39,2, FALSE), "")</f>
        <v/>
      </c>
      <c r="AZ104" s="551" t="str">
        <f t="shared" si="47"/>
        <v/>
      </c>
      <c r="BA104" s="555" t="str">
        <f t="shared" si="39"/>
        <v>入力済</v>
      </c>
      <c r="BB104" s="534" t="str">
        <f>IFERROR(VLOOKUP(K104,【参考】数式用!$AX$3:$AY$59, 2, FALSE), "")</f>
        <v/>
      </c>
      <c r="BC104" s="551" t="str">
        <f t="shared" si="48"/>
        <v/>
      </c>
      <c r="BD104" s="555" t="str">
        <f t="shared" si="40"/>
        <v>入力済</v>
      </c>
      <c r="BE104" s="552" t="str">
        <f t="shared" si="49"/>
        <v/>
      </c>
      <c r="BF104" s="552" t="str">
        <f t="shared" si="41"/>
        <v/>
      </c>
    </row>
    <row r="105" spans="1:58" ht="109.95" customHeight="1" thickBot="1">
      <c r="A105" s="306">
        <v>92</v>
      </c>
      <c r="B105" s="646" t="str">
        <f>IF(基本情報入力シート!B127="","",基本情報入力シート!B127)</f>
        <v/>
      </c>
      <c r="C105" s="647"/>
      <c r="D105" s="647"/>
      <c r="E105" s="647"/>
      <c r="F105" s="648"/>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53" t="str">
        <f>IF(基本情報入力シート!AF127=0, "",基本情報入力シート!AF127)</f>
        <v/>
      </c>
      <c r="M105" s="581"/>
      <c r="N105" s="517" t="str">
        <f>IFERROR(VLOOKUP(K105,【参考】数式用!$A$2:$F$57,MATCH(M105,【参考】数式用!$C$3:$F$3,0)+2,0),"")</f>
        <v/>
      </c>
      <c r="O105" s="506"/>
      <c r="P105" s="549" t="str">
        <f>IFERROR(VLOOKUP(K105,【参考】数式用!$A$2:$F$57,MATCH(O105,【参考】数式用!$C$3:$F$3,0)+2,0),"")</f>
        <v/>
      </c>
      <c r="Q105" s="313" t="s">
        <v>113</v>
      </c>
      <c r="R105" s="311"/>
      <c r="S105" s="312" t="s">
        <v>178</v>
      </c>
      <c r="T105" s="311"/>
      <c r="U105" s="312" t="s">
        <v>179</v>
      </c>
      <c r="V105" s="311"/>
      <c r="W105" s="312" t="s">
        <v>178</v>
      </c>
      <c r="X105" s="311"/>
      <c r="Y105" s="312" t="s">
        <v>180</v>
      </c>
      <c r="Z105" s="312" t="s">
        <v>181</v>
      </c>
      <c r="AA105" s="312" t="str">
        <f t="shared" si="51"/>
        <v/>
      </c>
      <c r="AB105" s="308" t="s">
        <v>182</v>
      </c>
      <c r="AC105" s="309" t="str">
        <f t="shared" si="42"/>
        <v/>
      </c>
      <c r="AD105" s="510" t="str">
        <f t="shared" si="43"/>
        <v/>
      </c>
      <c r="AE105" s="310" t="str">
        <f>IFERROR(ROUNDDOWN(ROUNDDOWN(ROUND(L105*VLOOKUP(K105,【参考】数式用!$A$4:$F$57,MATCH("処遇改善加算Ⅳ",【参考】数式用!$C$3:$F$3,0)+2,0),0),0)*AA105*0.5,0), "")</f>
        <v/>
      </c>
      <c r="AF105" s="321"/>
      <c r="AG105" s="322"/>
      <c r="AH105" s="322"/>
      <c r="AI105" s="321"/>
      <c r="AJ105" s="323"/>
      <c r="AK105" s="329"/>
      <c r="AL105" s="327" t="str">
        <f t="shared" si="32"/>
        <v/>
      </c>
      <c r="AM105" s="328" t="str">
        <f t="shared" si="50"/>
        <v/>
      </c>
      <c r="AN105" s="258"/>
      <c r="AO105" s="551" t="str">
        <f>IFERROR(VLOOKUP(K105,【参考】数式用!$A$2:$N$57,14,FALSE),"")</f>
        <v/>
      </c>
      <c r="AP105" s="551" t="str">
        <f t="shared" si="33"/>
        <v/>
      </c>
      <c r="AQ105" s="556" t="str">
        <f t="shared" si="34"/>
        <v/>
      </c>
      <c r="AR105" s="534" t="str">
        <f t="shared" si="35"/>
        <v>入力済</v>
      </c>
      <c r="AS105" s="551" t="str">
        <f t="shared" si="44"/>
        <v/>
      </c>
      <c r="AT105" s="534" t="str">
        <f t="shared" si="36"/>
        <v>入力済</v>
      </c>
      <c r="AU105" s="534" t="str">
        <f t="shared" si="45"/>
        <v/>
      </c>
      <c r="AV105" s="534" t="str">
        <f t="shared" si="37"/>
        <v/>
      </c>
      <c r="AW105" s="551" t="str">
        <f t="shared" si="38"/>
        <v/>
      </c>
      <c r="AX105" s="551" t="str">
        <f t="shared" si="46"/>
        <v/>
      </c>
      <c r="AY105" s="534" t="str">
        <f>IFERROR(VLOOKUP(K105,【参考】数式用!$AR$5:$AS$39,2, FALSE), "")</f>
        <v/>
      </c>
      <c r="AZ105" s="551" t="str">
        <f t="shared" si="47"/>
        <v/>
      </c>
      <c r="BA105" s="555" t="str">
        <f t="shared" si="39"/>
        <v>入力済</v>
      </c>
      <c r="BB105" s="534" t="str">
        <f>IFERROR(VLOOKUP(K105,【参考】数式用!$AX$3:$AY$59, 2, FALSE), "")</f>
        <v/>
      </c>
      <c r="BC105" s="551" t="str">
        <f t="shared" si="48"/>
        <v/>
      </c>
      <c r="BD105" s="555" t="str">
        <f t="shared" si="40"/>
        <v>入力済</v>
      </c>
      <c r="BE105" s="552" t="str">
        <f t="shared" si="49"/>
        <v/>
      </c>
      <c r="BF105" s="552" t="str">
        <f t="shared" si="41"/>
        <v/>
      </c>
    </row>
    <row r="106" spans="1:58" ht="109.95" customHeight="1" thickBot="1">
      <c r="A106" s="306">
        <v>93</v>
      </c>
      <c r="B106" s="646" t="str">
        <f>IF(基本情報入力シート!B128="","",基本情報入力シート!B128)</f>
        <v/>
      </c>
      <c r="C106" s="647"/>
      <c r="D106" s="647"/>
      <c r="E106" s="647"/>
      <c r="F106" s="648"/>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53" t="str">
        <f>IF(基本情報入力シート!AF128=0, "",基本情報入力シート!AF128)</f>
        <v/>
      </c>
      <c r="M106" s="581"/>
      <c r="N106" s="517" t="str">
        <f>IFERROR(VLOOKUP(K106,【参考】数式用!$A$2:$F$57,MATCH(M106,【参考】数式用!$C$3:$F$3,0)+2,0),"")</f>
        <v/>
      </c>
      <c r="O106" s="506"/>
      <c r="P106" s="549" t="str">
        <f>IFERROR(VLOOKUP(K106,【参考】数式用!$A$2:$F$57,MATCH(O106,【参考】数式用!$C$3:$F$3,0)+2,0),"")</f>
        <v/>
      </c>
      <c r="Q106" s="313" t="s">
        <v>113</v>
      </c>
      <c r="R106" s="311"/>
      <c r="S106" s="312" t="s">
        <v>178</v>
      </c>
      <c r="T106" s="311"/>
      <c r="U106" s="312" t="s">
        <v>179</v>
      </c>
      <c r="V106" s="311"/>
      <c r="W106" s="312" t="s">
        <v>178</v>
      </c>
      <c r="X106" s="311"/>
      <c r="Y106" s="312" t="s">
        <v>180</v>
      </c>
      <c r="Z106" s="312" t="s">
        <v>181</v>
      </c>
      <c r="AA106" s="312" t="str">
        <f t="shared" si="51"/>
        <v/>
      </c>
      <c r="AB106" s="308" t="s">
        <v>182</v>
      </c>
      <c r="AC106" s="309" t="str">
        <f t="shared" si="42"/>
        <v/>
      </c>
      <c r="AD106" s="510" t="str">
        <f t="shared" si="43"/>
        <v/>
      </c>
      <c r="AE106" s="310" t="str">
        <f>IFERROR(ROUNDDOWN(ROUNDDOWN(ROUND(L106*VLOOKUP(K106,【参考】数式用!$A$4:$F$57,MATCH("処遇改善加算Ⅳ",【参考】数式用!$C$3:$F$3,0)+2,0),0),0)*AA106*0.5,0), "")</f>
        <v/>
      </c>
      <c r="AF106" s="321"/>
      <c r="AG106" s="322"/>
      <c r="AH106" s="322"/>
      <c r="AI106" s="321"/>
      <c r="AJ106" s="323"/>
      <c r="AK106" s="329"/>
      <c r="AL106" s="327" t="str">
        <f t="shared" si="32"/>
        <v/>
      </c>
      <c r="AM106" s="328" t="str">
        <f t="shared" si="50"/>
        <v/>
      </c>
      <c r="AN106" s="258"/>
      <c r="AO106" s="551" t="str">
        <f>IFERROR(VLOOKUP(K106,【参考】数式用!$A$2:$N$57,14,FALSE),"")</f>
        <v/>
      </c>
      <c r="AP106" s="551" t="str">
        <f t="shared" si="33"/>
        <v/>
      </c>
      <c r="AQ106" s="556" t="str">
        <f t="shared" si="34"/>
        <v/>
      </c>
      <c r="AR106" s="534" t="str">
        <f t="shared" si="35"/>
        <v>入力済</v>
      </c>
      <c r="AS106" s="551" t="str">
        <f t="shared" si="44"/>
        <v/>
      </c>
      <c r="AT106" s="534" t="str">
        <f t="shared" si="36"/>
        <v>入力済</v>
      </c>
      <c r="AU106" s="534" t="str">
        <f t="shared" si="45"/>
        <v/>
      </c>
      <c r="AV106" s="534" t="str">
        <f t="shared" si="37"/>
        <v/>
      </c>
      <c r="AW106" s="551" t="str">
        <f t="shared" si="38"/>
        <v/>
      </c>
      <c r="AX106" s="551" t="str">
        <f t="shared" si="46"/>
        <v/>
      </c>
      <c r="AY106" s="534" t="str">
        <f>IFERROR(VLOOKUP(K106,【参考】数式用!$AR$5:$AS$39,2, FALSE), "")</f>
        <v/>
      </c>
      <c r="AZ106" s="551" t="str">
        <f t="shared" si="47"/>
        <v/>
      </c>
      <c r="BA106" s="555" t="str">
        <f t="shared" si="39"/>
        <v>入力済</v>
      </c>
      <c r="BB106" s="534" t="str">
        <f>IFERROR(VLOOKUP(K106,【参考】数式用!$AX$3:$AY$59, 2, FALSE), "")</f>
        <v/>
      </c>
      <c r="BC106" s="551" t="str">
        <f t="shared" si="48"/>
        <v/>
      </c>
      <c r="BD106" s="555" t="str">
        <f t="shared" si="40"/>
        <v>入力済</v>
      </c>
      <c r="BE106" s="552" t="str">
        <f t="shared" si="49"/>
        <v/>
      </c>
      <c r="BF106" s="552" t="str">
        <f t="shared" si="41"/>
        <v/>
      </c>
    </row>
    <row r="107" spans="1:58" ht="109.95" customHeight="1" thickBot="1">
      <c r="A107" s="306">
        <v>94</v>
      </c>
      <c r="B107" s="646" t="str">
        <f>IF(基本情報入力シート!B129="","",基本情報入力シート!B129)</f>
        <v/>
      </c>
      <c r="C107" s="647"/>
      <c r="D107" s="647"/>
      <c r="E107" s="647"/>
      <c r="F107" s="648"/>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53" t="str">
        <f>IF(基本情報入力シート!AF129=0, "",基本情報入力シート!AF129)</f>
        <v/>
      </c>
      <c r="M107" s="581"/>
      <c r="N107" s="517" t="str">
        <f>IFERROR(VLOOKUP(K107,【参考】数式用!$A$2:$F$57,MATCH(M107,【参考】数式用!$C$3:$F$3,0)+2,0),"")</f>
        <v/>
      </c>
      <c r="O107" s="506"/>
      <c r="P107" s="549" t="str">
        <f>IFERROR(VLOOKUP(K107,【参考】数式用!$A$2:$F$57,MATCH(O107,【参考】数式用!$C$3:$F$3,0)+2,0),"")</f>
        <v/>
      </c>
      <c r="Q107" s="313" t="s">
        <v>113</v>
      </c>
      <c r="R107" s="311"/>
      <c r="S107" s="312" t="s">
        <v>178</v>
      </c>
      <c r="T107" s="311"/>
      <c r="U107" s="312" t="s">
        <v>179</v>
      </c>
      <c r="V107" s="311"/>
      <c r="W107" s="312" t="s">
        <v>178</v>
      </c>
      <c r="X107" s="311"/>
      <c r="Y107" s="312" t="s">
        <v>180</v>
      </c>
      <c r="Z107" s="312" t="s">
        <v>181</v>
      </c>
      <c r="AA107" s="312" t="str">
        <f t="shared" si="51"/>
        <v/>
      </c>
      <c r="AB107" s="308" t="s">
        <v>182</v>
      </c>
      <c r="AC107" s="309" t="str">
        <f t="shared" si="42"/>
        <v/>
      </c>
      <c r="AD107" s="510" t="str">
        <f t="shared" si="43"/>
        <v/>
      </c>
      <c r="AE107" s="310" t="str">
        <f>IFERROR(ROUNDDOWN(ROUNDDOWN(ROUND(L107*VLOOKUP(K107,【参考】数式用!$A$4:$F$57,MATCH("処遇改善加算Ⅳ",【参考】数式用!$C$3:$F$3,0)+2,0),0),0)*AA107*0.5,0), "")</f>
        <v/>
      </c>
      <c r="AF107" s="321"/>
      <c r="AG107" s="322"/>
      <c r="AH107" s="322"/>
      <c r="AI107" s="321"/>
      <c r="AJ107" s="323"/>
      <c r="AK107" s="329"/>
      <c r="AL107" s="327" t="str">
        <f t="shared" si="32"/>
        <v/>
      </c>
      <c r="AM107" s="328" t="str">
        <f t="shared" si="50"/>
        <v/>
      </c>
      <c r="AN107" s="258"/>
      <c r="AO107" s="551" t="str">
        <f>IFERROR(VLOOKUP(K107,【参考】数式用!$A$2:$N$57,14,FALSE),"")</f>
        <v/>
      </c>
      <c r="AP107" s="551" t="str">
        <f t="shared" si="33"/>
        <v/>
      </c>
      <c r="AQ107" s="556" t="str">
        <f t="shared" si="34"/>
        <v/>
      </c>
      <c r="AR107" s="534" t="str">
        <f t="shared" si="35"/>
        <v>入力済</v>
      </c>
      <c r="AS107" s="551" t="str">
        <f t="shared" si="44"/>
        <v/>
      </c>
      <c r="AT107" s="534" t="str">
        <f t="shared" si="36"/>
        <v>入力済</v>
      </c>
      <c r="AU107" s="534" t="str">
        <f t="shared" si="45"/>
        <v/>
      </c>
      <c r="AV107" s="534" t="str">
        <f t="shared" si="37"/>
        <v/>
      </c>
      <c r="AW107" s="551" t="str">
        <f t="shared" si="38"/>
        <v/>
      </c>
      <c r="AX107" s="551" t="str">
        <f t="shared" si="46"/>
        <v/>
      </c>
      <c r="AY107" s="534" t="str">
        <f>IFERROR(VLOOKUP(K107,【参考】数式用!$AR$5:$AS$39,2, FALSE), "")</f>
        <v/>
      </c>
      <c r="AZ107" s="551" t="str">
        <f t="shared" si="47"/>
        <v/>
      </c>
      <c r="BA107" s="555" t="str">
        <f t="shared" si="39"/>
        <v>入力済</v>
      </c>
      <c r="BB107" s="534" t="str">
        <f>IFERROR(VLOOKUP(K107,【参考】数式用!$AX$3:$AY$59, 2, FALSE), "")</f>
        <v/>
      </c>
      <c r="BC107" s="551" t="str">
        <f t="shared" si="48"/>
        <v/>
      </c>
      <c r="BD107" s="555" t="str">
        <f t="shared" si="40"/>
        <v>入力済</v>
      </c>
      <c r="BE107" s="552" t="str">
        <f t="shared" si="49"/>
        <v/>
      </c>
      <c r="BF107" s="552" t="str">
        <f t="shared" si="41"/>
        <v/>
      </c>
    </row>
    <row r="108" spans="1:58" ht="109.95" customHeight="1" thickBot="1">
      <c r="A108" s="306">
        <v>95</v>
      </c>
      <c r="B108" s="646" t="str">
        <f>IF(基本情報入力シート!B130="","",基本情報入力シート!B130)</f>
        <v/>
      </c>
      <c r="C108" s="647"/>
      <c r="D108" s="647"/>
      <c r="E108" s="647"/>
      <c r="F108" s="648"/>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53" t="str">
        <f>IF(基本情報入力シート!AF130=0, "",基本情報入力シート!AF130)</f>
        <v/>
      </c>
      <c r="M108" s="581"/>
      <c r="N108" s="517" t="str">
        <f>IFERROR(VLOOKUP(K108,【参考】数式用!$A$2:$F$57,MATCH(M108,【参考】数式用!$C$3:$F$3,0)+2,0),"")</f>
        <v/>
      </c>
      <c r="O108" s="506"/>
      <c r="P108" s="549" t="str">
        <f>IFERROR(VLOOKUP(K108,【参考】数式用!$A$2:$F$57,MATCH(O108,【参考】数式用!$C$3:$F$3,0)+2,0),"")</f>
        <v/>
      </c>
      <c r="Q108" s="313" t="s">
        <v>113</v>
      </c>
      <c r="R108" s="311"/>
      <c r="S108" s="312" t="s">
        <v>178</v>
      </c>
      <c r="T108" s="311"/>
      <c r="U108" s="312" t="s">
        <v>179</v>
      </c>
      <c r="V108" s="311"/>
      <c r="W108" s="312" t="s">
        <v>178</v>
      </c>
      <c r="X108" s="311"/>
      <c r="Y108" s="312" t="s">
        <v>180</v>
      </c>
      <c r="Z108" s="312" t="s">
        <v>181</v>
      </c>
      <c r="AA108" s="312" t="str">
        <f t="shared" si="51"/>
        <v/>
      </c>
      <c r="AB108" s="308" t="s">
        <v>182</v>
      </c>
      <c r="AC108" s="309" t="str">
        <f t="shared" si="42"/>
        <v/>
      </c>
      <c r="AD108" s="510" t="str">
        <f t="shared" si="43"/>
        <v/>
      </c>
      <c r="AE108" s="310" t="str">
        <f>IFERROR(ROUNDDOWN(ROUNDDOWN(ROUND(L108*VLOOKUP(K108,【参考】数式用!$A$4:$F$57,MATCH("処遇改善加算Ⅳ",【参考】数式用!$C$3:$F$3,0)+2,0),0),0)*AA108*0.5,0), "")</f>
        <v/>
      </c>
      <c r="AF108" s="321"/>
      <c r="AG108" s="322"/>
      <c r="AH108" s="322"/>
      <c r="AI108" s="321"/>
      <c r="AJ108" s="323"/>
      <c r="AK108" s="329"/>
      <c r="AL108" s="327" t="str">
        <f t="shared" si="32"/>
        <v/>
      </c>
      <c r="AM108" s="328" t="str">
        <f t="shared" si="50"/>
        <v/>
      </c>
      <c r="AN108" s="258"/>
      <c r="AO108" s="551" t="str">
        <f>IFERROR(VLOOKUP(K108,【参考】数式用!$A$2:$N$57,14,FALSE),"")</f>
        <v/>
      </c>
      <c r="AP108" s="551" t="str">
        <f t="shared" si="33"/>
        <v/>
      </c>
      <c r="AQ108" s="556" t="str">
        <f t="shared" si="34"/>
        <v/>
      </c>
      <c r="AR108" s="534" t="str">
        <f t="shared" si="35"/>
        <v>入力済</v>
      </c>
      <c r="AS108" s="551" t="str">
        <f t="shared" si="44"/>
        <v/>
      </c>
      <c r="AT108" s="534" t="str">
        <f t="shared" si="36"/>
        <v>入力済</v>
      </c>
      <c r="AU108" s="534" t="str">
        <f t="shared" si="45"/>
        <v/>
      </c>
      <c r="AV108" s="534" t="str">
        <f t="shared" si="37"/>
        <v/>
      </c>
      <c r="AW108" s="551" t="str">
        <f t="shared" si="38"/>
        <v/>
      </c>
      <c r="AX108" s="551" t="str">
        <f t="shared" si="46"/>
        <v/>
      </c>
      <c r="AY108" s="534" t="str">
        <f>IFERROR(VLOOKUP(K108,【参考】数式用!$AR$5:$AS$39,2, FALSE), "")</f>
        <v/>
      </c>
      <c r="AZ108" s="551" t="str">
        <f t="shared" si="47"/>
        <v/>
      </c>
      <c r="BA108" s="555" t="str">
        <f t="shared" si="39"/>
        <v>入力済</v>
      </c>
      <c r="BB108" s="534" t="str">
        <f>IFERROR(VLOOKUP(K108,【参考】数式用!$AX$3:$AY$59, 2, FALSE), "")</f>
        <v/>
      </c>
      <c r="BC108" s="551" t="str">
        <f t="shared" si="48"/>
        <v/>
      </c>
      <c r="BD108" s="555" t="str">
        <f t="shared" si="40"/>
        <v>入力済</v>
      </c>
      <c r="BE108" s="552" t="str">
        <f t="shared" si="49"/>
        <v/>
      </c>
      <c r="BF108" s="552" t="str">
        <f t="shared" si="41"/>
        <v/>
      </c>
    </row>
    <row r="109" spans="1:58" ht="109.95" customHeight="1" thickBot="1">
      <c r="A109" s="306">
        <v>96</v>
      </c>
      <c r="B109" s="646" t="str">
        <f>IF(基本情報入力シート!B131="","",基本情報入力シート!B131)</f>
        <v/>
      </c>
      <c r="C109" s="647"/>
      <c r="D109" s="647"/>
      <c r="E109" s="647"/>
      <c r="F109" s="648"/>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53" t="str">
        <f>IF(基本情報入力シート!AF131=0, "",基本情報入力シート!AF131)</f>
        <v/>
      </c>
      <c r="M109" s="581"/>
      <c r="N109" s="517" t="str">
        <f>IFERROR(VLOOKUP(K109,【参考】数式用!$A$2:$F$57,MATCH(M109,【参考】数式用!$C$3:$F$3,0)+2,0),"")</f>
        <v/>
      </c>
      <c r="O109" s="506"/>
      <c r="P109" s="549" t="str">
        <f>IFERROR(VLOOKUP(K109,【参考】数式用!$A$2:$F$57,MATCH(O109,【参考】数式用!$C$3:$F$3,0)+2,0),"")</f>
        <v/>
      </c>
      <c r="Q109" s="313" t="s">
        <v>113</v>
      </c>
      <c r="R109" s="311"/>
      <c r="S109" s="312" t="s">
        <v>178</v>
      </c>
      <c r="T109" s="311"/>
      <c r="U109" s="312" t="s">
        <v>179</v>
      </c>
      <c r="V109" s="311"/>
      <c r="W109" s="312" t="s">
        <v>178</v>
      </c>
      <c r="X109" s="311"/>
      <c r="Y109" s="312" t="s">
        <v>180</v>
      </c>
      <c r="Z109" s="312" t="s">
        <v>181</v>
      </c>
      <c r="AA109" s="312" t="str">
        <f t="shared" si="51"/>
        <v/>
      </c>
      <c r="AB109" s="308" t="s">
        <v>182</v>
      </c>
      <c r="AC109" s="309" t="str">
        <f t="shared" si="42"/>
        <v/>
      </c>
      <c r="AD109" s="510" t="str">
        <f t="shared" si="43"/>
        <v/>
      </c>
      <c r="AE109" s="310" t="str">
        <f>IFERROR(ROUNDDOWN(ROUNDDOWN(ROUND(L109*VLOOKUP(K109,【参考】数式用!$A$4:$F$57,MATCH("処遇改善加算Ⅳ",【参考】数式用!$C$3:$F$3,0)+2,0),0),0)*AA109*0.5,0), "")</f>
        <v/>
      </c>
      <c r="AF109" s="321"/>
      <c r="AG109" s="322"/>
      <c r="AH109" s="322"/>
      <c r="AI109" s="321"/>
      <c r="AJ109" s="323"/>
      <c r="AK109" s="329"/>
      <c r="AL109" s="327" t="str">
        <f t="shared" si="32"/>
        <v/>
      </c>
      <c r="AM109" s="328" t="str">
        <f t="shared" si="50"/>
        <v/>
      </c>
      <c r="AN109" s="258"/>
      <c r="AO109" s="551" t="str">
        <f>IFERROR(VLOOKUP(K109,【参考】数式用!$A$2:$N$57,14,FALSE),"")</f>
        <v/>
      </c>
      <c r="AP109" s="551" t="str">
        <f t="shared" ref="AP109:AP113" si="52">IF(AND(K109&lt;&gt;"",AO109="加算対象"),"N列に色付け","")</f>
        <v/>
      </c>
      <c r="AQ109" s="556" t="str">
        <f t="shared" si="34"/>
        <v/>
      </c>
      <c r="AR109" s="534" t="str">
        <f t="shared" si="35"/>
        <v>入力済</v>
      </c>
      <c r="AS109" s="551" t="str">
        <f t="shared" si="44"/>
        <v/>
      </c>
      <c r="AT109" s="534" t="str">
        <f t="shared" si="36"/>
        <v>入力済</v>
      </c>
      <c r="AU109" s="534" t="str">
        <f t="shared" si="45"/>
        <v/>
      </c>
      <c r="AV109" s="534" t="str">
        <f t="shared" ref="AV109:AV113" si="53">IF(AND(AO109="加算対象",O109&lt;&gt;"処遇改善加算Ⅲ",O109&lt;&gt;"処遇改善加算Ⅳ", O109&lt;&gt;"", AU109&lt;&gt;"対象外"), 1,"")</f>
        <v/>
      </c>
      <c r="AW109" s="551" t="str">
        <f t="shared" ref="AW109:AW113" si="54">IF(AND(AV109=1, OR(AI109=0,AI109=""),AO109="加算対象"),"AH列に色付け","")</f>
        <v/>
      </c>
      <c r="AX109" s="551" t="str">
        <f t="shared" si="46"/>
        <v/>
      </c>
      <c r="AY109" s="534" t="str">
        <f>IFERROR(VLOOKUP(K109,【参考】数式用!$AR$5:$AS$39,2, FALSE), "")</f>
        <v/>
      </c>
      <c r="AZ109" s="551" t="str">
        <f t="shared" si="47"/>
        <v/>
      </c>
      <c r="BA109" s="555" t="str">
        <f t="shared" si="39"/>
        <v>入力済</v>
      </c>
      <c r="BB109" s="534" t="str">
        <f>IFERROR(VLOOKUP(K109,【参考】数式用!$AX$3:$AY$59, 2, FALSE), "")</f>
        <v/>
      </c>
      <c r="BC109" s="551" t="str">
        <f t="shared" si="48"/>
        <v/>
      </c>
      <c r="BD109" s="555" t="str">
        <f t="shared" si="40"/>
        <v>入力済</v>
      </c>
      <c r="BE109" s="552" t="str">
        <f t="shared" si="49"/>
        <v/>
      </c>
      <c r="BF109" s="552" t="str">
        <f t="shared" si="41"/>
        <v/>
      </c>
    </row>
    <row r="110" spans="1:58" ht="109.95" customHeight="1" thickBot="1">
      <c r="A110" s="306">
        <v>97</v>
      </c>
      <c r="B110" s="646" t="str">
        <f>IF(基本情報入力シート!B132="","",基本情報入力シート!B132)</f>
        <v/>
      </c>
      <c r="C110" s="647"/>
      <c r="D110" s="647"/>
      <c r="E110" s="647"/>
      <c r="F110" s="648"/>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53" t="str">
        <f>IF(基本情報入力シート!AF132=0, "",基本情報入力シート!AF132)</f>
        <v/>
      </c>
      <c r="M110" s="581"/>
      <c r="N110" s="517" t="str">
        <f>IFERROR(VLOOKUP(K110,【参考】数式用!$A$2:$F$57,MATCH(M110,【参考】数式用!$C$3:$F$3,0)+2,0),"")</f>
        <v/>
      </c>
      <c r="O110" s="506"/>
      <c r="P110" s="549" t="str">
        <f>IFERROR(VLOOKUP(K110,【参考】数式用!$A$2:$F$57,MATCH(O110,【参考】数式用!$C$3:$F$3,0)+2,0),"")</f>
        <v/>
      </c>
      <c r="Q110" s="313" t="s">
        <v>113</v>
      </c>
      <c r="R110" s="311"/>
      <c r="S110" s="312" t="s">
        <v>178</v>
      </c>
      <c r="T110" s="311"/>
      <c r="U110" s="312" t="s">
        <v>179</v>
      </c>
      <c r="V110" s="311"/>
      <c r="W110" s="312" t="s">
        <v>178</v>
      </c>
      <c r="X110" s="311"/>
      <c r="Y110" s="312" t="s">
        <v>180</v>
      </c>
      <c r="Z110" s="312" t="s">
        <v>181</v>
      </c>
      <c r="AA110" s="312" t="str">
        <f t="shared" si="51"/>
        <v/>
      </c>
      <c r="AB110" s="308" t="s">
        <v>182</v>
      </c>
      <c r="AC110" s="309" t="str">
        <f t="shared" si="42"/>
        <v/>
      </c>
      <c r="AD110" s="510" t="str">
        <f t="shared" si="43"/>
        <v/>
      </c>
      <c r="AE110" s="310" t="str">
        <f>IFERROR(ROUNDDOWN(ROUNDDOWN(ROUND(L110*VLOOKUP(K110,【参考】数式用!$A$4:$F$57,MATCH("処遇改善加算Ⅳ",【参考】数式用!$C$3:$F$3,0)+2,0),0),0)*AA110*0.5,0), "")</f>
        <v/>
      </c>
      <c r="AF110" s="321"/>
      <c r="AG110" s="322"/>
      <c r="AH110" s="322"/>
      <c r="AI110" s="321"/>
      <c r="AJ110" s="323"/>
      <c r="AK110" s="329"/>
      <c r="AL110" s="327" t="str">
        <f t="shared" si="32"/>
        <v/>
      </c>
      <c r="AM110" s="328" t="str">
        <f t="shared" si="50"/>
        <v/>
      </c>
      <c r="AN110" s="258"/>
      <c r="AO110" s="551" t="str">
        <f>IFERROR(VLOOKUP(K110,【参考】数式用!$A$2:$N$57,14,FALSE),"")</f>
        <v/>
      </c>
      <c r="AP110" s="551" t="str">
        <f t="shared" si="52"/>
        <v/>
      </c>
      <c r="AQ110" s="556" t="str">
        <f t="shared" si="34"/>
        <v/>
      </c>
      <c r="AR110" s="534" t="str">
        <f t="shared" si="35"/>
        <v>入力済</v>
      </c>
      <c r="AS110" s="551" t="str">
        <f t="shared" si="44"/>
        <v/>
      </c>
      <c r="AT110" s="534" t="str">
        <f t="shared" si="36"/>
        <v>入力済</v>
      </c>
      <c r="AU110" s="534" t="str">
        <f t="shared" si="45"/>
        <v/>
      </c>
      <c r="AV110" s="534" t="str">
        <f t="shared" si="53"/>
        <v/>
      </c>
      <c r="AW110" s="551" t="str">
        <f t="shared" si="54"/>
        <v/>
      </c>
      <c r="AX110" s="551" t="str">
        <f t="shared" si="46"/>
        <v/>
      </c>
      <c r="AY110" s="534" t="str">
        <f>IFERROR(VLOOKUP(K110,【参考】数式用!$AR$5:$AS$39,2, FALSE), "")</f>
        <v/>
      </c>
      <c r="AZ110" s="551" t="str">
        <f t="shared" si="47"/>
        <v/>
      </c>
      <c r="BA110" s="555" t="str">
        <f t="shared" si="39"/>
        <v>入力済</v>
      </c>
      <c r="BB110" s="534" t="str">
        <f>IFERROR(VLOOKUP(K110,【参考】数式用!$AX$3:$AY$59, 2, FALSE), "")</f>
        <v/>
      </c>
      <c r="BC110" s="551" t="str">
        <f t="shared" si="48"/>
        <v/>
      </c>
      <c r="BD110" s="555" t="str">
        <f t="shared" si="40"/>
        <v>入力済</v>
      </c>
      <c r="BE110" s="552" t="str">
        <f t="shared" si="49"/>
        <v/>
      </c>
      <c r="BF110" s="552" t="str">
        <f t="shared" si="41"/>
        <v/>
      </c>
    </row>
    <row r="111" spans="1:58" ht="109.95" customHeight="1" thickBot="1">
      <c r="A111" s="306">
        <v>98</v>
      </c>
      <c r="B111" s="646" t="str">
        <f>IF(基本情報入力シート!B133="","",基本情報入力シート!B133)</f>
        <v/>
      </c>
      <c r="C111" s="647"/>
      <c r="D111" s="647"/>
      <c r="E111" s="647"/>
      <c r="F111" s="648"/>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53" t="str">
        <f>IF(基本情報入力シート!AF133=0, "",基本情報入力シート!AF133)</f>
        <v/>
      </c>
      <c r="M111" s="581"/>
      <c r="N111" s="517" t="str">
        <f>IFERROR(VLOOKUP(K111,【参考】数式用!$A$2:$F$57,MATCH(M111,【参考】数式用!$C$3:$F$3,0)+2,0),"")</f>
        <v/>
      </c>
      <c r="O111" s="506"/>
      <c r="P111" s="549" t="str">
        <f>IFERROR(VLOOKUP(K111,【参考】数式用!$A$2:$F$57,MATCH(O111,【参考】数式用!$C$3:$F$3,0)+2,0),"")</f>
        <v/>
      </c>
      <c r="Q111" s="313" t="s">
        <v>113</v>
      </c>
      <c r="R111" s="311"/>
      <c r="S111" s="312" t="s">
        <v>178</v>
      </c>
      <c r="T111" s="311"/>
      <c r="U111" s="312" t="s">
        <v>179</v>
      </c>
      <c r="V111" s="311"/>
      <c r="W111" s="312" t="s">
        <v>178</v>
      </c>
      <c r="X111" s="311"/>
      <c r="Y111" s="312" t="s">
        <v>180</v>
      </c>
      <c r="Z111" s="312" t="s">
        <v>181</v>
      </c>
      <c r="AA111" s="312" t="str">
        <f t="shared" si="51"/>
        <v/>
      </c>
      <c r="AB111" s="308" t="s">
        <v>182</v>
      </c>
      <c r="AC111" s="309" t="str">
        <f t="shared" si="42"/>
        <v/>
      </c>
      <c r="AD111" s="510" t="str">
        <f t="shared" si="43"/>
        <v/>
      </c>
      <c r="AE111" s="310" t="str">
        <f>IFERROR(ROUNDDOWN(ROUNDDOWN(ROUND(L111*VLOOKUP(K111,【参考】数式用!$A$4:$F$57,MATCH("処遇改善加算Ⅳ",【参考】数式用!$C$3:$F$3,0)+2,0),0),0)*AA111*0.5,0), "")</f>
        <v/>
      </c>
      <c r="AF111" s="321"/>
      <c r="AG111" s="322"/>
      <c r="AH111" s="322"/>
      <c r="AI111" s="321"/>
      <c r="AJ111" s="323"/>
      <c r="AK111" s="329"/>
      <c r="AL111" s="327" t="str">
        <f t="shared" si="32"/>
        <v/>
      </c>
      <c r="AM111" s="328" t="str">
        <f t="shared" si="50"/>
        <v/>
      </c>
      <c r="AN111" s="258"/>
      <c r="AO111" s="551" t="str">
        <f>IFERROR(VLOOKUP(K111,【参考】数式用!$A$2:$N$57,14,FALSE),"")</f>
        <v/>
      </c>
      <c r="AP111" s="551" t="str">
        <f t="shared" si="52"/>
        <v/>
      </c>
      <c r="AQ111" s="556" t="str">
        <f t="shared" si="34"/>
        <v/>
      </c>
      <c r="AR111" s="534" t="str">
        <f t="shared" si="35"/>
        <v>入力済</v>
      </c>
      <c r="AS111" s="551" t="str">
        <f t="shared" si="44"/>
        <v/>
      </c>
      <c r="AT111" s="534" t="str">
        <f t="shared" si="36"/>
        <v>入力済</v>
      </c>
      <c r="AU111" s="534" t="str">
        <f t="shared" si="45"/>
        <v/>
      </c>
      <c r="AV111" s="534" t="str">
        <f t="shared" si="53"/>
        <v/>
      </c>
      <c r="AW111" s="551" t="str">
        <f t="shared" si="54"/>
        <v/>
      </c>
      <c r="AX111" s="551" t="str">
        <f t="shared" si="46"/>
        <v/>
      </c>
      <c r="AY111" s="534" t="str">
        <f>IFERROR(VLOOKUP(K111,【参考】数式用!$AR$5:$AS$39,2, FALSE), "")</f>
        <v/>
      </c>
      <c r="AZ111" s="551" t="str">
        <f t="shared" si="47"/>
        <v/>
      </c>
      <c r="BA111" s="555" t="str">
        <f t="shared" si="39"/>
        <v>入力済</v>
      </c>
      <c r="BB111" s="534" t="str">
        <f>IFERROR(VLOOKUP(K111,【参考】数式用!$AX$3:$AY$59, 2, FALSE), "")</f>
        <v/>
      </c>
      <c r="BC111" s="551" t="str">
        <f t="shared" si="48"/>
        <v/>
      </c>
      <c r="BD111" s="555" t="str">
        <f t="shared" si="40"/>
        <v>入力済</v>
      </c>
      <c r="BE111" s="552" t="str">
        <f t="shared" si="49"/>
        <v/>
      </c>
      <c r="BF111" s="552" t="str">
        <f t="shared" si="41"/>
        <v/>
      </c>
    </row>
    <row r="112" spans="1:58" ht="109.95" customHeight="1" thickBot="1">
      <c r="A112" s="336">
        <v>99</v>
      </c>
      <c r="B112" s="665" t="str">
        <f>IF(基本情報入力シート!B134="","",基本情報入力シート!B134)</f>
        <v/>
      </c>
      <c r="C112" s="666"/>
      <c r="D112" s="666"/>
      <c r="E112" s="666"/>
      <c r="F112" s="667"/>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82"/>
      <c r="N112" s="517" t="str">
        <f>IFERROR(VLOOKUP(K112,【参考】数式用!$A$2:$F$57,MATCH(M112,【参考】数式用!$C$3:$F$3,0)+2,0),"")</f>
        <v/>
      </c>
      <c r="O112" s="507"/>
      <c r="P112" s="340" t="str">
        <f>IFERROR(VLOOKUP(K112,【参考】数式用!$A$2:$F$57,MATCH(O112,【参考】数式用!$C$3:$F$3,0)+2,0),"")</f>
        <v/>
      </c>
      <c r="Q112" s="313" t="s">
        <v>113</v>
      </c>
      <c r="R112" s="311"/>
      <c r="S112" s="312" t="s">
        <v>178</v>
      </c>
      <c r="T112" s="311"/>
      <c r="U112" s="312" t="s">
        <v>179</v>
      </c>
      <c r="V112" s="311"/>
      <c r="W112" s="312" t="s">
        <v>178</v>
      </c>
      <c r="X112" s="311"/>
      <c r="Y112" s="312" t="s">
        <v>180</v>
      </c>
      <c r="Z112" s="312" t="s">
        <v>181</v>
      </c>
      <c r="AA112" s="312" t="str">
        <f t="shared" si="51"/>
        <v/>
      </c>
      <c r="AB112" s="308" t="s">
        <v>182</v>
      </c>
      <c r="AC112" s="309" t="str">
        <f t="shared" si="42"/>
        <v/>
      </c>
      <c r="AD112" s="510" t="str">
        <f t="shared" si="43"/>
        <v/>
      </c>
      <c r="AE112" s="310" t="str">
        <f>IFERROR(ROUNDDOWN(ROUNDDOWN(ROUND(L112*VLOOKUP(K112,【参考】数式用!$A$4:$F$57,MATCH("処遇改善加算Ⅳ",【参考】数式用!$C$3:$F$3,0)+2,0),0),0)*AA112*0.5,0), "")</f>
        <v/>
      </c>
      <c r="AF112" s="347"/>
      <c r="AG112" s="348"/>
      <c r="AH112" s="348"/>
      <c r="AI112" s="321"/>
      <c r="AJ112" s="323"/>
      <c r="AK112" s="349"/>
      <c r="AL112" s="327" t="str">
        <f t="shared" si="32"/>
        <v/>
      </c>
      <c r="AM112" s="328" t="str">
        <f t="shared" si="50"/>
        <v/>
      </c>
      <c r="AN112" s="258"/>
      <c r="AO112" s="551" t="str">
        <f>IFERROR(VLOOKUP(K112,【参考】数式用!$A$2:$N$57,14,FALSE),"")</f>
        <v/>
      </c>
      <c r="AP112" s="551" t="str">
        <f t="shared" si="52"/>
        <v/>
      </c>
      <c r="AQ112" s="556" t="str">
        <f t="shared" si="34"/>
        <v/>
      </c>
      <c r="AR112" s="534" t="str">
        <f t="shared" si="35"/>
        <v>入力済</v>
      </c>
      <c r="AS112" s="551" t="str">
        <f t="shared" si="44"/>
        <v/>
      </c>
      <c r="AT112" s="534" t="str">
        <f t="shared" si="36"/>
        <v>入力済</v>
      </c>
      <c r="AU112" s="534" t="str">
        <f t="shared" si="45"/>
        <v/>
      </c>
      <c r="AV112" s="534" t="str">
        <f t="shared" si="53"/>
        <v/>
      </c>
      <c r="AW112" s="551" t="str">
        <f t="shared" si="54"/>
        <v/>
      </c>
      <c r="AX112" s="551" t="str">
        <f t="shared" si="46"/>
        <v/>
      </c>
      <c r="AY112" s="534" t="str">
        <f>IFERROR(VLOOKUP(K112,【参考】数式用!$AR$5:$AS$39,2, FALSE), "")</f>
        <v/>
      </c>
      <c r="AZ112" s="551" t="str">
        <f t="shared" si="47"/>
        <v/>
      </c>
      <c r="BA112" s="555" t="str">
        <f t="shared" si="39"/>
        <v>入力済</v>
      </c>
      <c r="BB112" s="534" t="str">
        <f>IFERROR(VLOOKUP(K112,【参考】数式用!$AX$3:$AY$59, 2, FALSE), "")</f>
        <v/>
      </c>
      <c r="BC112" s="551" t="str">
        <f t="shared" si="48"/>
        <v/>
      </c>
      <c r="BD112" s="555" t="str">
        <f t="shared" si="40"/>
        <v>入力済</v>
      </c>
      <c r="BE112" s="552" t="str">
        <f t="shared" si="49"/>
        <v/>
      </c>
      <c r="BF112" s="552" t="str">
        <f t="shared" si="41"/>
        <v/>
      </c>
    </row>
    <row r="113" spans="1:58" ht="109.95" customHeight="1" thickBot="1">
      <c r="A113" s="330">
        <v>100</v>
      </c>
      <c r="B113" s="992" t="str">
        <f>IF(基本情報入力シート!B135="","",基本情報入力シート!B135)</f>
        <v/>
      </c>
      <c r="C113" s="993"/>
      <c r="D113" s="993"/>
      <c r="E113" s="993"/>
      <c r="F113" s="994"/>
      <c r="G113" s="331" t="str">
        <f>IF(基本情報入力シート!L135="", "", 基本情報入力シート!L135)</f>
        <v/>
      </c>
      <c r="H113" s="331" t="str">
        <f>IF(基本情報入力シート!Q135="", "", 基本情報入力シート!Q135)</f>
        <v/>
      </c>
      <c r="I113" s="331" t="str">
        <f>IF(基本情報入力シート!V135="", "", 基本情報入力シート!V135)</f>
        <v/>
      </c>
      <c r="J113" s="331" t="str">
        <f>IF(基本情報入力シート!W135="", "", 基本情報入力シート!W135)</f>
        <v/>
      </c>
      <c r="K113" s="331" t="str">
        <f>IF(基本情報入力シート!Z135="", "", 基本情報入力シート!Z135)</f>
        <v/>
      </c>
      <c r="L113" s="554" t="str">
        <f>IF(基本情報入力シート!AF135=0, "",基本情報入力シート!AF135)</f>
        <v/>
      </c>
      <c r="M113" s="583"/>
      <c r="N113" s="517" t="str">
        <f>IFERROR(VLOOKUP(K113,【参考】数式用!$A$2:$F$57,MATCH(M113,【参考】数式用!$C$3:$F$3,0)+2,0),"")</f>
        <v/>
      </c>
      <c r="O113" s="508"/>
      <c r="P113" s="550" t="str">
        <f>IFERROR(VLOOKUP(K113,【参考】数式用!$A$2:$F$57,MATCH(O113,【参考】数式用!$C$3:$F$3,0)+2,0),"")</f>
        <v/>
      </c>
      <c r="Q113" s="341" t="s">
        <v>113</v>
      </c>
      <c r="R113" s="342"/>
      <c r="S113" s="343" t="s">
        <v>178</v>
      </c>
      <c r="T113" s="342"/>
      <c r="U113" s="343" t="s">
        <v>179</v>
      </c>
      <c r="V113" s="342"/>
      <c r="W113" s="343" t="s">
        <v>178</v>
      </c>
      <c r="X113" s="342"/>
      <c r="Y113" s="343" t="s">
        <v>180</v>
      </c>
      <c r="Z113" s="343" t="s">
        <v>181</v>
      </c>
      <c r="AA113" s="343" t="str">
        <f t="shared" si="51"/>
        <v/>
      </c>
      <c r="AB113" s="344" t="s">
        <v>182</v>
      </c>
      <c r="AC113" s="511" t="str">
        <f t="shared" si="42"/>
        <v/>
      </c>
      <c r="AD113" s="513" t="str">
        <f t="shared" si="43"/>
        <v/>
      </c>
      <c r="AE113" s="512" t="str">
        <f>IFERROR(ROUNDDOWN(ROUNDDOWN(ROUND(L113*VLOOKUP(K113,【参考】数式用!$A$4:$F$57,MATCH("処遇改善加算Ⅳ",【参考】数式用!$C$3:$F$3,0)+2,0),0),0)*AA113*0.5,0), "")</f>
        <v/>
      </c>
      <c r="AF113" s="332"/>
      <c r="AG113" s="333"/>
      <c r="AH113" s="333"/>
      <c r="AI113" s="321"/>
      <c r="AJ113" s="323"/>
      <c r="AK113" s="334"/>
      <c r="AL113" s="335" t="str">
        <f t="shared" si="32"/>
        <v/>
      </c>
      <c r="AM113" s="328" t="str">
        <f t="shared" si="50"/>
        <v/>
      </c>
      <c r="AN113" s="258"/>
      <c r="AO113" s="551" t="str">
        <f>IFERROR(VLOOKUP(K113,【参考】数式用!$A$2:$N$57,14,FALSE),"")</f>
        <v/>
      </c>
      <c r="AP113" s="551" t="str">
        <f t="shared" si="52"/>
        <v/>
      </c>
      <c r="AQ113" s="556" t="str">
        <f t="shared" si="34"/>
        <v/>
      </c>
      <c r="AR113" s="534" t="str">
        <f t="shared" si="35"/>
        <v>入力済</v>
      </c>
      <c r="AS113" s="551" t="str">
        <f t="shared" si="44"/>
        <v/>
      </c>
      <c r="AT113" s="534" t="str">
        <f t="shared" si="36"/>
        <v>入力済</v>
      </c>
      <c r="AU113" s="534" t="str">
        <f t="shared" si="45"/>
        <v/>
      </c>
      <c r="AV113" s="534" t="str">
        <f t="shared" si="53"/>
        <v/>
      </c>
      <c r="AW113" s="551" t="str">
        <f t="shared" si="54"/>
        <v/>
      </c>
      <c r="AX113" s="551" t="str">
        <f t="shared" si="46"/>
        <v/>
      </c>
      <c r="AY113" s="534" t="str">
        <f>IFERROR(VLOOKUP(K113,【参考】数式用!$AR$5:$AS$39,2, FALSE), "")</f>
        <v/>
      </c>
      <c r="AZ113" s="551" t="str">
        <f t="shared" si="47"/>
        <v/>
      </c>
      <c r="BA113" s="555" t="str">
        <f t="shared" si="39"/>
        <v>入力済</v>
      </c>
      <c r="BB113" s="534" t="str">
        <f>IFERROR(VLOOKUP(K113,【参考】数式用!$AX$3:$AY$59, 2, FALSE), "")</f>
        <v/>
      </c>
      <c r="BC113" s="551" t="str">
        <f t="shared" si="48"/>
        <v/>
      </c>
      <c r="BD113" s="555" t="str">
        <f t="shared" si="40"/>
        <v>入力済</v>
      </c>
      <c r="BE113" s="552" t="str">
        <f t="shared" si="49"/>
        <v/>
      </c>
      <c r="BF113" s="552" t="str">
        <f t="shared" si="41"/>
        <v/>
      </c>
    </row>
  </sheetData>
  <sheetProtection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43:X113" xr:uid="{1D190B2B-BA36-4335-8E41-7DCB299EE19A}">
      <formula1>"4,5"</formula1>
    </dataValidation>
    <dataValidation type="list" imeMode="halfAlpha" allowBlank="1" showDropDown="1" showInputMessage="1" showErrorMessage="1" error="このセルには８しか入力できません。" sqref="R13:R115 V13:V113" xr:uid="{D9ECC9A9-CEF2-4983-AE87-F8044DC969E3}">
      <formula1>"8"</formula1>
    </dataValidation>
    <dataValidation type="list" imeMode="halfAlpha" allowBlank="1" showDropDown="1" showInputMessage="1" showErrorMessage="1" error="このセルには４または５の数字しか入力できません。" sqref="X13:X42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tabSelected="1" view="pageBreakPreview" zoomScale="50" zoomScaleNormal="85" zoomScaleSheetLayoutView="50" zoomScalePageLayoutView="70" workbookViewId="0"/>
  </sheetViews>
  <sheetFormatPr defaultColWidth="2.33203125" defaultRowHeight="16.2"/>
  <cols>
    <col min="1" max="1" width="5.33203125" customWidth="1"/>
    <col min="2" max="6" width="2.33203125" style="265" customWidth="1"/>
    <col min="7" max="7" width="12.33203125" customWidth="1"/>
    <col min="8" max="8" width="9" customWidth="1"/>
    <col min="9" max="9" width="9.33203125" style="59" customWidth="1"/>
    <col min="10" max="10" width="19.33203125" customWidth="1"/>
    <col min="11" max="11" width="17.33203125" style="24" customWidth="1"/>
    <col min="12" max="12" width="25.109375" customWidth="1"/>
    <col min="13" max="14" width="15.6640625" customWidth="1"/>
    <col min="15" max="15" width="25.109375" style="260" customWidth="1"/>
    <col min="16" max="16" width="12" style="48" customWidth="1"/>
    <col min="17" max="17" width="6.33203125" style="261" customWidth="1"/>
    <col min="18" max="18" width="3" style="48" customWidth="1"/>
    <col min="19" max="19" width="3.77734375" style="24" customWidth="1"/>
    <col min="20" max="20" width="3.33203125" style="262" customWidth="1"/>
    <col min="21" max="21" width="10.21875" style="24" customWidth="1"/>
    <col min="22" max="22" width="3.33203125" style="262" customWidth="1"/>
    <col min="23" max="23" width="3.33203125" style="24" customWidth="1"/>
    <col min="24" max="24" width="2.88671875" style="262" customWidth="1"/>
    <col min="25" max="25" width="2.88671875" style="24" customWidth="1"/>
    <col min="26" max="26" width="3.33203125" style="262" customWidth="1"/>
    <col min="27" max="27" width="5" style="24" customWidth="1"/>
    <col min="28" max="28" width="7.33203125" style="24" customWidth="1"/>
    <col min="29" max="30" width="16.88671875" style="24" customWidth="1"/>
    <col min="31" max="31" width="15" style="24" customWidth="1"/>
    <col min="32" max="32" width="18.109375" style="48" customWidth="1"/>
    <col min="33" max="33" width="21.6640625" style="319" customWidth="1"/>
    <col min="34" max="34" width="21.6640625" style="264" customWidth="1"/>
    <col min="35" max="35" width="18.33203125" style="12" customWidth="1"/>
    <col min="36" max="36" width="20.88671875" style="317" customWidth="1"/>
    <col min="37" max="37" width="21.33203125" style="263" customWidth="1"/>
    <col min="38" max="40" width="22.33203125" style="264" customWidth="1"/>
    <col min="41" max="41" width="22.33203125" style="264" hidden="1" customWidth="1"/>
    <col min="42" max="42" width="21.6640625" style="17" hidden="1" customWidth="1"/>
    <col min="43" max="43" width="16.6640625" style="17" hidden="1" customWidth="1"/>
    <col min="44" max="44" width="36.33203125" style="17" hidden="1" customWidth="1"/>
    <col min="45" max="45" width="18.33203125" style="221" hidden="1" customWidth="1"/>
    <col min="46" max="46" width="21.6640625" style="17" hidden="1" customWidth="1"/>
    <col min="47" max="47" width="16.33203125" style="221" hidden="1" customWidth="1"/>
    <col min="48" max="48" width="14.33203125" style="221" hidden="1" customWidth="1"/>
    <col min="49" max="50" width="25.109375" style="221" hidden="1" customWidth="1"/>
    <col min="51" max="52" width="17" style="221" hidden="1" customWidth="1"/>
    <col min="53" max="53" width="10" style="221" hidden="1" customWidth="1"/>
    <col min="54" max="55" width="16.33203125" style="221" hidden="1" customWidth="1"/>
    <col min="56" max="62" width="10" style="221" hidden="1" customWidth="1"/>
    <col min="63" max="63" width="14.33203125" style="221" hidden="1" customWidth="1"/>
    <col min="64" max="64" width="13.88671875" style="221" hidden="1" customWidth="1"/>
    <col min="65" max="66" width="15.33203125" style="221" hidden="1" customWidth="1"/>
    <col min="67" max="67" width="12.88671875" style="563" hidden="1" customWidth="1"/>
    <col min="68" max="68" width="11.33203125" style="221" hidden="1" customWidth="1"/>
    <col min="69" max="71" width="6.88671875" style="221" hidden="1" customWidth="1"/>
    <col min="72" max="72" width="6.88671875" style="222" hidden="1" customWidth="1"/>
    <col min="73" max="73" width="22.109375" customWidth="1"/>
  </cols>
  <sheetData>
    <row r="1" spans="1:73" ht="29.25" customHeight="1" thickBot="1">
      <c r="A1" s="211" t="s">
        <v>185</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18"/>
      <c r="AJ1" s="527" t="s">
        <v>3</v>
      </c>
      <c r="AK1" s="527" t="str">
        <f>IF(基本情報入力シート!C11="", "",基本情報入力シート!C11)</f>
        <v/>
      </c>
      <c r="AL1" s="219"/>
      <c r="AM1" s="219"/>
      <c r="AN1" s="219"/>
      <c r="AO1" s="219"/>
      <c r="AP1" s="220"/>
      <c r="AQ1" s="219"/>
      <c r="AR1" s="219"/>
      <c r="AT1" s="220"/>
      <c r="BK1" s="222"/>
      <c r="BL1"/>
      <c r="BM1"/>
      <c r="BN1"/>
      <c r="BO1" s="562"/>
      <c r="BP1"/>
      <c r="BQ1"/>
      <c r="BR1"/>
      <c r="BS1"/>
      <c r="BT1"/>
    </row>
    <row r="2" spans="1:73"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18"/>
      <c r="AJ2" s="316"/>
      <c r="AK2" s="228"/>
      <c r="AL2" s="53"/>
      <c r="AM2" s="53"/>
      <c r="AN2" s="53"/>
      <c r="AO2" s="53"/>
      <c r="AP2" s="53"/>
      <c r="AT2" s="53"/>
      <c r="BK2" s="222"/>
      <c r="BL2"/>
      <c r="BM2"/>
      <c r="BN2"/>
      <c r="BO2" s="562"/>
      <c r="BP2"/>
      <c r="BQ2"/>
      <c r="BR2"/>
      <c r="BS2"/>
      <c r="BT2"/>
    </row>
    <row r="3" spans="1:73" ht="27" customHeight="1" thickBot="1">
      <c r="A3" s="589" t="s">
        <v>40</v>
      </c>
      <c r="B3" s="589"/>
      <c r="C3" s="590"/>
      <c r="D3" s="591" t="str">
        <f>IF(基本情報入力シート!L16="","",基本情報入力シート!L16)</f>
        <v/>
      </c>
      <c r="E3" s="592"/>
      <c r="F3" s="592"/>
      <c r="G3" s="592"/>
      <c r="H3" s="592"/>
      <c r="I3" s="592"/>
      <c r="J3" s="593"/>
      <c r="K3" s="98"/>
      <c r="L3" s="229"/>
      <c r="M3" s="229"/>
      <c r="N3" s="229"/>
      <c r="O3" s="532"/>
      <c r="P3" s="532"/>
      <c r="Q3" s="215"/>
      <c r="R3" s="216"/>
      <c r="S3" s="58"/>
      <c r="T3" s="217"/>
      <c r="U3" s="217"/>
      <c r="V3" s="217"/>
      <c r="W3" s="217"/>
      <c r="X3" s="217"/>
      <c r="Y3" s="217"/>
      <c r="Z3" s="217"/>
      <c r="AA3" s="217"/>
      <c r="AB3" s="217"/>
      <c r="AC3" s="217"/>
      <c r="AD3" s="217"/>
      <c r="AE3" s="217"/>
      <c r="AF3" s="218"/>
      <c r="AG3" s="240"/>
      <c r="AH3" s="53"/>
      <c r="AI3" s="18"/>
      <c r="AJ3" s="316"/>
      <c r="AK3" s="228"/>
      <c r="AL3" s="53"/>
      <c r="AM3" s="53"/>
      <c r="AN3" s="53"/>
      <c r="AO3" s="53"/>
      <c r="AP3" s="53"/>
      <c r="AS3" s="230"/>
      <c r="AT3" s="53"/>
      <c r="AU3" s="230"/>
      <c r="AV3" s="230"/>
      <c r="BP3" s="222"/>
      <c r="BQ3"/>
      <c r="BR3"/>
      <c r="BS3"/>
      <c r="BT3"/>
    </row>
    <row r="4" spans="1:73" ht="21" customHeight="1" thickBot="1">
      <c r="A4" s="548"/>
      <c r="B4" s="231"/>
      <c r="C4" s="231"/>
      <c r="D4" s="232"/>
      <c r="E4" s="232"/>
      <c r="F4" s="232"/>
      <c r="G4" s="56"/>
      <c r="H4" s="56"/>
      <c r="I4" s="56"/>
      <c r="J4" s="56"/>
      <c r="K4" s="56"/>
      <c r="L4" s="229"/>
      <c r="M4" s="229"/>
      <c r="N4" s="229"/>
      <c r="O4" s="532"/>
      <c r="P4" s="532"/>
      <c r="Q4" s="215"/>
      <c r="R4" s="216"/>
      <c r="S4" s="58"/>
      <c r="T4" s="217"/>
      <c r="U4" s="217"/>
      <c r="V4" s="217"/>
      <c r="W4" s="217"/>
      <c r="X4" s="217"/>
      <c r="Y4" s="217"/>
      <c r="Z4" s="217"/>
      <c r="AA4" s="217"/>
      <c r="AB4" s="217"/>
      <c r="AC4" s="217"/>
      <c r="AD4" s="217"/>
      <c r="AE4" s="217"/>
      <c r="AF4" s="218"/>
      <c r="AG4" s="594" t="s">
        <v>2188</v>
      </c>
      <c r="AH4" s="594"/>
      <c r="AI4" s="594"/>
      <c r="AJ4" s="594"/>
      <c r="AK4" s="594"/>
      <c r="AL4" s="53"/>
      <c r="AM4" s="53"/>
      <c r="AN4" s="53"/>
      <c r="AO4" s="53"/>
      <c r="AP4" s="53"/>
      <c r="AT4" s="53"/>
      <c r="BP4" s="222"/>
      <c r="BQ4"/>
      <c r="BR4"/>
      <c r="BS4"/>
      <c r="BT4"/>
    </row>
    <row r="5" spans="1:73" ht="51" customHeight="1" thickBot="1">
      <c r="A5" s="595" t="s">
        <v>186</v>
      </c>
      <c r="B5" s="596"/>
      <c r="C5" s="596"/>
      <c r="D5" s="596"/>
      <c r="E5" s="596"/>
      <c r="F5" s="596"/>
      <c r="G5" s="596"/>
      <c r="H5" s="596"/>
      <c r="I5" s="596"/>
      <c r="J5" s="597"/>
      <c r="K5" s="384" t="s">
        <v>187</v>
      </c>
      <c r="L5" s="598" t="s">
        <v>2206</v>
      </c>
      <c r="M5" s="599"/>
      <c r="N5" s="600" t="s">
        <v>2207</v>
      </c>
      <c r="O5" s="601"/>
      <c r="P5" s="385"/>
      <c r="Q5" s="235"/>
      <c r="R5" s="215"/>
      <c r="S5" s="216"/>
      <c r="T5" s="58"/>
      <c r="U5" s="217"/>
      <c r="V5" s="217"/>
      <c r="W5" s="217"/>
      <c r="X5" s="217"/>
      <c r="Y5" s="217"/>
      <c r="Z5" s="217"/>
      <c r="AA5" s="217"/>
      <c r="AB5" s="217"/>
      <c r="AC5" s="217"/>
      <c r="AD5" s="217"/>
      <c r="AE5" s="217"/>
      <c r="AF5" s="218"/>
      <c r="AG5" s="602" t="s">
        <v>2490</v>
      </c>
      <c r="AH5" s="603"/>
      <c r="AI5" s="603"/>
      <c r="AJ5" s="604"/>
      <c r="AK5" s="325">
        <f>COUNTIF(AV:AV,"対象")</f>
        <v>0</v>
      </c>
      <c r="AL5" s="54"/>
      <c r="AM5" s="54"/>
      <c r="AN5" s="54"/>
      <c r="AO5" s="54"/>
      <c r="AP5" s="233"/>
      <c r="AQ5" s="236"/>
      <c r="AR5" s="236"/>
      <c r="AT5" s="233"/>
      <c r="BP5" s="222"/>
      <c r="BQ5"/>
      <c r="BR5"/>
      <c r="BS5"/>
      <c r="BT5"/>
    </row>
    <row r="6" spans="1:73" ht="35.25" customHeight="1" thickBot="1">
      <c r="A6" s="620" t="s">
        <v>145</v>
      </c>
      <c r="B6" s="621"/>
      <c r="C6" s="621"/>
      <c r="D6" s="621"/>
      <c r="E6" s="621"/>
      <c r="F6" s="621"/>
      <c r="G6" s="621"/>
      <c r="H6" s="621"/>
      <c r="I6" s="621"/>
      <c r="J6" s="622"/>
      <c r="K6" s="290">
        <f>IFERROR(SUM($AC:$AC),"")</f>
        <v>0</v>
      </c>
      <c r="L6" s="615">
        <f>IFERROR(SUMIF($AO$13:$AO$113,"加算対象",$AC13:$AC113),"")</f>
        <v>0</v>
      </c>
      <c r="M6" s="616"/>
      <c r="N6" s="615">
        <f>IFERROR(SUMIF($AO$13:$AO$113,"加算対象外",$AC13:$AC113),"")</f>
        <v>0</v>
      </c>
      <c r="O6" s="616"/>
      <c r="P6" s="234" t="s">
        <v>48</v>
      </c>
      <c r="Q6" s="235"/>
      <c r="R6" s="215"/>
      <c r="S6" s="216"/>
      <c r="T6" s="58"/>
      <c r="U6" s="217"/>
      <c r="V6" s="217"/>
      <c r="W6" s="217"/>
      <c r="X6" s="217"/>
      <c r="Y6" s="217"/>
      <c r="Z6" s="217"/>
      <c r="AA6" s="217"/>
      <c r="AB6" s="217"/>
      <c r="AC6" s="217"/>
      <c r="AD6" s="217"/>
      <c r="AE6" s="217"/>
      <c r="AF6" s="218"/>
      <c r="AG6" s="602" t="s">
        <v>2491</v>
      </c>
      <c r="AH6" s="603"/>
      <c r="AI6" s="603"/>
      <c r="AJ6" s="604"/>
      <c r="AK6" s="560">
        <f>COUNTIF(AI13:AI113,"○")</f>
        <v>0</v>
      </c>
      <c r="AL6" s="233"/>
      <c r="AM6" s="233"/>
      <c r="AN6" s="233"/>
      <c r="AO6" s="233"/>
      <c r="AP6" s="233"/>
      <c r="AQ6" s="236"/>
      <c r="AR6" s="236"/>
      <c r="AT6" s="233"/>
      <c r="AW6" s="238"/>
      <c r="AX6" s="238"/>
      <c r="AY6" s="611"/>
      <c r="AZ6" s="611"/>
      <c r="BA6" s="611"/>
      <c r="BB6" s="611"/>
      <c r="BC6" s="611"/>
      <c r="BD6" s="611"/>
      <c r="BE6" s="611"/>
      <c r="BF6" s="611"/>
      <c r="BG6" s="611"/>
      <c r="BH6" s="611"/>
      <c r="BI6" s="611"/>
      <c r="BJ6" s="611"/>
      <c r="BK6" s="611"/>
      <c r="BL6" s="611"/>
      <c r="BM6" s="611"/>
      <c r="BN6" s="546"/>
      <c r="BO6" s="564"/>
      <c r="BP6" s="611"/>
      <c r="BQ6" s="611"/>
      <c r="BR6" s="611"/>
      <c r="BS6" s="611"/>
      <c r="BT6" s="611"/>
    </row>
    <row r="7" spans="1:73" ht="35.25" customHeight="1">
      <c r="A7" s="386"/>
      <c r="B7" s="612" t="s">
        <v>146</v>
      </c>
      <c r="C7" s="613"/>
      <c r="D7" s="613"/>
      <c r="E7" s="613"/>
      <c r="F7" s="613"/>
      <c r="G7" s="613"/>
      <c r="H7" s="613"/>
      <c r="I7" s="613"/>
      <c r="J7" s="614"/>
      <c r="K7" s="290">
        <f>IFERROR(SUM($AE:$AE),"")</f>
        <v>0</v>
      </c>
      <c r="L7" s="615">
        <f>IFERROR(SUMIF($AO$13:$AO$113,"加算対象",$AE13:$AE113),"")</f>
        <v>0</v>
      </c>
      <c r="M7" s="616"/>
      <c r="N7" s="617"/>
      <c r="O7" s="618"/>
      <c r="P7" s="234" t="s">
        <v>48</v>
      </c>
      <c r="Q7" s="235"/>
      <c r="R7" s="215"/>
      <c r="S7" s="216"/>
      <c r="T7" s="58"/>
      <c r="U7" s="217"/>
      <c r="V7" s="217"/>
      <c r="W7" s="217"/>
      <c r="X7" s="217"/>
      <c r="Y7" s="217"/>
      <c r="Z7" s="217"/>
      <c r="AA7" s="217"/>
      <c r="AB7" s="217"/>
      <c r="AC7" s="217"/>
      <c r="AD7" s="217"/>
      <c r="AE7" s="217"/>
      <c r="AF7" s="218"/>
      <c r="AG7" s="619"/>
      <c r="AH7" s="619"/>
      <c r="AI7" s="619"/>
      <c r="AJ7" s="619"/>
      <c r="AK7" s="561"/>
      <c r="AL7" s="233"/>
      <c r="AM7" s="233"/>
      <c r="AN7" s="233"/>
      <c r="AO7" s="233"/>
      <c r="AP7" s="233"/>
      <c r="AQ7" s="236"/>
      <c r="AR7" s="236"/>
      <c r="AT7" s="233"/>
      <c r="AW7" s="238"/>
      <c r="AX7" s="238"/>
      <c r="AY7" s="546"/>
      <c r="AZ7" s="546"/>
      <c r="BA7" s="546"/>
      <c r="BB7" s="546"/>
      <c r="BC7" s="546"/>
      <c r="BD7" s="546"/>
      <c r="BE7" s="546"/>
      <c r="BF7" s="546"/>
      <c r="BG7" s="546"/>
      <c r="BH7" s="546"/>
      <c r="BI7" s="546"/>
      <c r="BJ7" s="546"/>
      <c r="BK7" s="546"/>
      <c r="BL7" s="546"/>
      <c r="BM7" s="546"/>
      <c r="BN7" s="546"/>
      <c r="BO7" s="564"/>
      <c r="BP7" s="546"/>
      <c r="BQ7" s="546"/>
      <c r="BR7" s="546"/>
      <c r="BS7" s="546"/>
      <c r="BT7" s="546"/>
    </row>
    <row r="8" spans="1:73" ht="35.25" customHeight="1">
      <c r="A8" s="605" t="s">
        <v>2477</v>
      </c>
      <c r="B8" s="606"/>
      <c r="C8" s="606"/>
      <c r="D8" s="606"/>
      <c r="E8" s="606"/>
      <c r="F8" s="606"/>
      <c r="G8" s="606"/>
      <c r="H8" s="606"/>
      <c r="I8" s="606"/>
      <c r="J8" s="607"/>
      <c r="K8" s="608">
        <f>SUM(AD13:AD113)</f>
        <v>0</v>
      </c>
      <c r="L8" s="608"/>
      <c r="M8" s="608"/>
      <c r="N8" s="608"/>
      <c r="O8" s="608"/>
      <c r="P8" s="234" t="s">
        <v>48</v>
      </c>
      <c r="Q8" s="235"/>
      <c r="R8" s="215"/>
      <c r="S8" s="216"/>
      <c r="T8" s="58"/>
      <c r="U8" s="217"/>
      <c r="V8" s="217"/>
      <c r="W8" s="217"/>
      <c r="X8" s="217"/>
      <c r="Y8" s="217"/>
      <c r="Z8" s="217"/>
      <c r="AA8" s="217"/>
      <c r="AB8" s="217"/>
      <c r="AC8" s="217"/>
      <c r="AD8" s="217"/>
      <c r="AE8" s="217"/>
      <c r="AF8" s="218"/>
      <c r="AG8" s="515"/>
      <c r="AH8" s="515"/>
      <c r="AI8" s="515"/>
      <c r="AJ8" s="515"/>
      <c r="AK8" s="516"/>
      <c r="AL8" s="233"/>
      <c r="AM8" s="233"/>
      <c r="AN8" s="233"/>
      <c r="AO8" s="233"/>
      <c r="AP8" s="233"/>
      <c r="AQ8" s="236"/>
      <c r="AR8" s="236"/>
      <c r="AT8" s="233"/>
      <c r="AW8" s="238"/>
      <c r="AX8" s="238"/>
      <c r="AY8" s="546"/>
      <c r="AZ8" s="546"/>
      <c r="BA8" s="546"/>
      <c r="BB8" s="546"/>
      <c r="BC8" s="546"/>
      <c r="BD8" s="546"/>
      <c r="BE8" s="546"/>
      <c r="BF8" s="546"/>
      <c r="BG8" s="546"/>
      <c r="BH8" s="546"/>
      <c r="BI8" s="546"/>
      <c r="BJ8" s="546"/>
      <c r="BK8" s="546"/>
      <c r="BL8" s="546"/>
      <c r="BM8" s="546"/>
      <c r="BN8" s="546"/>
      <c r="BO8" s="564"/>
      <c r="BP8" s="546"/>
      <c r="BQ8" s="546"/>
      <c r="BR8" s="546"/>
      <c r="BS8" s="546"/>
      <c r="BT8" s="546"/>
    </row>
    <row r="9" spans="1:73" ht="35.25" customHeight="1" thickBot="1">
      <c r="A9" s="609" t="s">
        <v>2488</v>
      </c>
      <c r="B9" s="609"/>
      <c r="C9" s="609"/>
      <c r="D9" s="609"/>
      <c r="E9" s="609"/>
      <c r="F9" s="609"/>
      <c r="G9" s="609"/>
      <c r="H9" s="609"/>
      <c r="I9" s="609"/>
      <c r="J9" s="609"/>
      <c r="K9" s="609"/>
      <c r="L9" s="609"/>
      <c r="M9" s="18"/>
      <c r="N9" s="18"/>
      <c r="O9" s="214"/>
      <c r="P9" s="214"/>
      <c r="Q9" s="239"/>
      <c r="R9" s="216"/>
      <c r="S9" s="58"/>
      <c r="T9" s="58"/>
      <c r="U9" s="58"/>
      <c r="V9" s="217"/>
      <c r="W9" s="58"/>
      <c r="X9" s="58"/>
      <c r="Y9" s="58"/>
      <c r="Z9" s="58"/>
      <c r="AA9" s="58"/>
      <c r="AB9" s="58"/>
      <c r="AC9" s="58"/>
      <c r="AD9" s="58"/>
      <c r="AE9" s="58"/>
      <c r="AF9" s="240"/>
      <c r="AG9" s="240"/>
      <c r="AH9" s="53"/>
      <c r="AI9" s="18"/>
      <c r="AJ9" s="316"/>
      <c r="AK9" s="228"/>
      <c r="AL9" s="53"/>
      <c r="AM9" s="53"/>
      <c r="AN9" s="53"/>
      <c r="AO9" s="53"/>
      <c r="AP9" s="221"/>
      <c r="AQ9" s="221"/>
      <c r="AR9" s="221"/>
      <c r="AS9" s="610"/>
      <c r="AT9" s="610"/>
      <c r="AU9" s="610"/>
      <c r="AV9" s="610"/>
      <c r="AW9" s="610"/>
      <c r="AX9" s="610"/>
      <c r="AY9" s="610"/>
      <c r="AZ9" s="544"/>
      <c r="BA9" s="610"/>
      <c r="BB9" s="610"/>
      <c r="BC9" s="610"/>
      <c r="BD9" s="610"/>
      <c r="BE9" s="610"/>
      <c r="BF9" s="610"/>
      <c r="BG9" s="610"/>
      <c r="BH9" s="610"/>
      <c r="BI9" s="610"/>
      <c r="BJ9" s="544"/>
      <c r="BK9" s="610"/>
      <c r="BL9" s="610"/>
      <c r="BM9" s="610"/>
      <c r="BN9" s="610"/>
      <c r="BO9" s="610"/>
      <c r="BP9" s="610"/>
      <c r="BQ9"/>
      <c r="BR9"/>
      <c r="BS9"/>
      <c r="BT9"/>
    </row>
    <row r="10" spans="1:73" s="18" customFormat="1" ht="31.95" customHeight="1" thickBot="1">
      <c r="B10" s="241"/>
      <c r="C10" s="241"/>
      <c r="D10" s="241"/>
      <c r="E10" s="241"/>
      <c r="F10" s="241"/>
      <c r="I10" s="242"/>
      <c r="K10" s="58"/>
      <c r="O10" s="315" t="str">
        <f>IF(D3="", "", IFERROR(IF(COUNTIF(AP13:AP113,"O列に色付け")=COUNTA(O13:O113),"○","×"),""))</f>
        <v/>
      </c>
      <c r="P10" s="216"/>
      <c r="Q10" s="58"/>
      <c r="R10" s="217"/>
      <c r="S10" s="217"/>
      <c r="T10" s="217"/>
      <c r="U10" s="217"/>
      <c r="V10" s="217"/>
      <c r="W10" s="217"/>
      <c r="X10" s="217"/>
      <c r="Y10" s="217"/>
      <c r="Z10" s="217"/>
      <c r="AA10" s="217"/>
      <c r="AB10" s="217"/>
      <c r="AC10" s="243"/>
      <c r="AD10" s="243"/>
      <c r="AE10" s="623" t="str">
        <f>IF(D3="", "", IFERROR(IF(COUNTIF(AQ13:AQ113,"未入力")=0,"○","×"),""))</f>
        <v/>
      </c>
      <c r="AF10" s="624"/>
      <c r="AG10" s="315" t="str">
        <f>IF(D3="", "", IFERROR(IF(COUNTIF(AS:AS,"未入力")=0,"○","×"),""))</f>
        <v/>
      </c>
      <c r="AH10" s="315" t="str">
        <f>IF(D3="", "", IFERROR(IF(COUNTIF(AU:AU,"未入力")=0,"○","×"),""))</f>
        <v/>
      </c>
      <c r="AI10" s="574" t="str">
        <f>IF(D3="", "", IFERROR(IF(COUNTIF(AV13:AV113,"未入力")=0,"○","×"),""))</f>
        <v/>
      </c>
      <c r="AJ10" s="244" t="str">
        <f>IF(D3="","", IF(COUNTIF(BA:BA,"未入力")=0,"○","×"))</f>
        <v/>
      </c>
      <c r="AK10" s="244" t="str">
        <f>IF(D3="","",IF(BJ13=0,"",IF(COUNTIF(BD13:BD113,"未入力")+COUNTIF(BH13:BH113,"未入力")=0,"○","×")))</f>
        <v/>
      </c>
      <c r="AL10" s="304"/>
      <c r="AM10" s="304"/>
      <c r="AN10" s="53"/>
      <c r="AO10" s="53"/>
      <c r="BB10" s="245"/>
      <c r="BC10" s="245"/>
      <c r="BD10" s="245"/>
      <c r="BE10" s="245"/>
      <c r="BF10" s="245"/>
      <c r="BG10" s="245"/>
      <c r="BH10" s="245"/>
      <c r="BI10" s="245"/>
      <c r="BJ10" s="245"/>
      <c r="BK10" s="245"/>
      <c r="BL10" s="245"/>
      <c r="BM10" s="246"/>
      <c r="BN10" s="246"/>
      <c r="BO10" s="565">
        <f>BO11+BP11</f>
        <v>0</v>
      </c>
    </row>
    <row r="11" spans="1:73" ht="53.25" customHeight="1" thickBot="1">
      <c r="A11" s="625"/>
      <c r="B11" s="627" t="s">
        <v>2219</v>
      </c>
      <c r="C11" s="628"/>
      <c r="D11" s="628"/>
      <c r="E11" s="628"/>
      <c r="F11" s="629"/>
      <c r="G11" s="633" t="s">
        <v>27</v>
      </c>
      <c r="H11" s="635" t="s">
        <v>28</v>
      </c>
      <c r="I11" s="635"/>
      <c r="J11" s="636" t="s">
        <v>147</v>
      </c>
      <c r="K11" s="638" t="s">
        <v>30</v>
      </c>
      <c r="L11" s="640" t="s">
        <v>2227</v>
      </c>
      <c r="M11" s="649" t="s">
        <v>2476</v>
      </c>
      <c r="N11" s="650"/>
      <c r="O11" s="651" t="s">
        <v>188</v>
      </c>
      <c r="P11" s="653" t="s">
        <v>2220</v>
      </c>
      <c r="Q11" s="655" t="s">
        <v>2226</v>
      </c>
      <c r="R11" s="656"/>
      <c r="S11" s="656"/>
      <c r="T11" s="656"/>
      <c r="U11" s="656"/>
      <c r="V11" s="656"/>
      <c r="W11" s="656"/>
      <c r="X11" s="656"/>
      <c r="Y11" s="656"/>
      <c r="Z11" s="656"/>
      <c r="AA11" s="656"/>
      <c r="AB11" s="657"/>
      <c r="AC11" s="661" t="s">
        <v>2222</v>
      </c>
      <c r="AD11" s="663" t="s">
        <v>2477</v>
      </c>
      <c r="AE11" s="642" t="s">
        <v>149</v>
      </c>
      <c r="AF11" s="643"/>
      <c r="AG11" s="547" t="s">
        <v>150</v>
      </c>
      <c r="AH11" s="547" t="s">
        <v>151</v>
      </c>
      <c r="AI11" s="547" t="s">
        <v>152</v>
      </c>
      <c r="AJ11" s="285" t="s">
        <v>153</v>
      </c>
      <c r="AK11" s="287" t="s">
        <v>154</v>
      </c>
      <c r="AL11" s="305"/>
      <c r="AM11" s="305"/>
      <c r="AN11" s="247"/>
      <c r="AO11" s="557" t="s">
        <v>155</v>
      </c>
      <c r="AP11" s="558"/>
      <c r="AS11" s="28"/>
      <c r="AT11" s="28"/>
      <c r="AU11" s="28"/>
      <c r="AV11" s="28"/>
      <c r="AW11" s="28"/>
      <c r="AX11" s="28"/>
      <c r="AY11" s="28"/>
      <c r="AZ11" s="28"/>
      <c r="BA11" s="28"/>
      <c r="BB11" s="28"/>
      <c r="BC11" s="28"/>
      <c r="BD11" s="28"/>
      <c r="BE11" s="28"/>
      <c r="BF11" s="28"/>
      <c r="BG11" s="28"/>
      <c r="BH11" s="28"/>
      <c r="BI11" s="28"/>
      <c r="BJ11" s="28"/>
      <c r="BK11" s="28"/>
      <c r="BL11" s="28"/>
      <c r="BO11" s="563">
        <f>SUM(BO13:BO113)</f>
        <v>0</v>
      </c>
      <c r="BP11" s="221">
        <f>SUM(BP13:BP113)</f>
        <v>0</v>
      </c>
      <c r="BR11" s="222"/>
      <c r="BS11" s="248"/>
      <c r="BT11"/>
    </row>
    <row r="12" spans="1:73" ht="159.75" customHeight="1" thickBot="1">
      <c r="A12" s="626"/>
      <c r="B12" s="630"/>
      <c r="C12" s="631"/>
      <c r="D12" s="631"/>
      <c r="E12" s="631"/>
      <c r="F12" s="632"/>
      <c r="G12" s="634"/>
      <c r="H12" s="249" t="s">
        <v>156</v>
      </c>
      <c r="I12" s="249" t="s">
        <v>157</v>
      </c>
      <c r="J12" s="637"/>
      <c r="K12" s="639"/>
      <c r="L12" s="641"/>
      <c r="M12" s="505" t="s">
        <v>2471</v>
      </c>
      <c r="N12" s="509" t="s">
        <v>2472</v>
      </c>
      <c r="O12" s="652"/>
      <c r="P12" s="654"/>
      <c r="Q12" s="658"/>
      <c r="R12" s="659"/>
      <c r="S12" s="659"/>
      <c r="T12" s="659"/>
      <c r="U12" s="659"/>
      <c r="V12" s="659"/>
      <c r="W12" s="659"/>
      <c r="X12" s="659"/>
      <c r="Y12" s="659"/>
      <c r="Z12" s="659"/>
      <c r="AA12" s="659"/>
      <c r="AB12" s="660"/>
      <c r="AC12" s="662"/>
      <c r="AD12" s="664"/>
      <c r="AE12" s="250" t="s">
        <v>158</v>
      </c>
      <c r="AF12" s="251" t="s">
        <v>2485</v>
      </c>
      <c r="AG12" s="252" t="s">
        <v>159</v>
      </c>
      <c r="AH12" s="253" t="s">
        <v>160</v>
      </c>
      <c r="AI12" s="253" t="s">
        <v>2504</v>
      </c>
      <c r="AJ12" s="286" t="s">
        <v>2223</v>
      </c>
      <c r="AK12" s="288" t="s">
        <v>2505</v>
      </c>
      <c r="AL12" s="644" t="s">
        <v>161</v>
      </c>
      <c r="AM12" s="645"/>
      <c r="AN12" s="326"/>
      <c r="AO12" s="254" t="s">
        <v>189</v>
      </c>
      <c r="AP12" s="254" t="s">
        <v>163</v>
      </c>
      <c r="AQ12" s="255" t="s">
        <v>164</v>
      </c>
      <c r="AR12" s="254" t="s">
        <v>190</v>
      </c>
      <c r="AS12" s="254" t="s">
        <v>165</v>
      </c>
      <c r="AT12" s="254" t="s">
        <v>166</v>
      </c>
      <c r="AU12" s="254" t="s">
        <v>167</v>
      </c>
      <c r="AV12" s="256" t="s">
        <v>2182</v>
      </c>
      <c r="AW12" s="256" t="s">
        <v>2195</v>
      </c>
      <c r="AX12" s="254" t="s">
        <v>169</v>
      </c>
      <c r="AY12" s="256" t="s">
        <v>170</v>
      </c>
      <c r="AZ12" s="254" t="s">
        <v>171</v>
      </c>
      <c r="BA12" s="256" t="s">
        <v>172</v>
      </c>
      <c r="BB12" s="256" t="s">
        <v>173</v>
      </c>
      <c r="BC12" s="254" t="s">
        <v>174</v>
      </c>
      <c r="BD12" s="256" t="s">
        <v>175</v>
      </c>
      <c r="BE12" s="256" t="s">
        <v>2187</v>
      </c>
      <c r="BF12" s="256" t="s">
        <v>2205</v>
      </c>
      <c r="BG12" s="256" t="s">
        <v>2193</v>
      </c>
      <c r="BH12" s="256" t="s">
        <v>2201</v>
      </c>
      <c r="BI12" s="257" t="s">
        <v>176</v>
      </c>
      <c r="BJ12"/>
      <c r="BK12"/>
      <c r="BL12" s="17" t="s">
        <v>2484</v>
      </c>
      <c r="BM12" s="17" t="s">
        <v>2494</v>
      </c>
      <c r="BN12" s="17" t="s">
        <v>2508</v>
      </c>
      <c r="BO12" s="566" t="s">
        <v>2495</v>
      </c>
      <c r="BP12" s="17" t="s">
        <v>2508</v>
      </c>
      <c r="BQ12"/>
      <c r="BR12"/>
      <c r="BS12"/>
      <c r="BT12"/>
    </row>
    <row r="13" spans="1:73" ht="109.95" customHeight="1" thickBot="1">
      <c r="A13" s="306">
        <v>1</v>
      </c>
      <c r="B13" s="646" t="str">
        <f>IF(基本情報入力シート!B35="","",基本情報入力シート!B35)</f>
        <v/>
      </c>
      <c r="C13" s="647"/>
      <c r="D13" s="647"/>
      <c r="E13" s="647"/>
      <c r="F13" s="648"/>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53" t="str">
        <f>IF(基本情報入力シート!AF35=0, "",基本情報入力シート!AF35)</f>
        <v/>
      </c>
      <c r="M13" s="519" t="str">
        <f>IF('別紙様式2-2（個票（４、５月））'!M13="","",'別紙様式2-2（個票（４、５月））'!M13)</f>
        <v/>
      </c>
      <c r="N13" s="518" t="str">
        <f>IF('別紙様式2-2（個票（４、５月））'!N13="","",'別紙様式2-2（個票（４、５月））'!N13)</f>
        <v/>
      </c>
      <c r="O13" s="289"/>
      <c r="P13" s="549" t="str">
        <f>IFERROR(VLOOKUP(K13,【参考】数式用!$A$2:$M$57,MATCH(O13,【参考】数式用!$G$3:$M$3,0)+6,0),"")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0" t="str">
        <f>IFERROR(ROUNDDOWN(ROUND((L13*(P13-N13)),0),0)*AA13,"")</f>
        <v/>
      </c>
      <c r="AE13" s="310" t="str">
        <f>IFERROR(ROUNDDOWN(ROUNDDOWN(ROUND(L13*VLOOKUP(K13,【参考】数式用!$A$2:$M$57,MATCH("処遇改善加算Ⅳ",【参考】数式用!$G$3:$M$3,0)+6,0),0),0)*AA13*0.5,0), "")</f>
        <v/>
      </c>
      <c r="AF13" s="321"/>
      <c r="AG13" s="322"/>
      <c r="AH13" s="322"/>
      <c r="AI13" s="321"/>
      <c r="AJ13" s="323"/>
      <c r="AK13" s="329"/>
      <c r="AL13" s="327"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8"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8"/>
      <c r="AO13" s="551" t="str">
        <f>IFERROR(VLOOKUP(K13,【参考】数式用!$A$2:$N$57,14,FALSE),"")</f>
        <v/>
      </c>
      <c r="AP13" s="551" t="str">
        <f>IF(AND(K13&lt;&gt;""),"O列に色付け","")</f>
        <v/>
      </c>
      <c r="AQ13" s="556" t="str">
        <f t="shared" ref="AQ13:AQ44" si="1">IF(AND(AE13&lt;&gt;0,AE13&lt;&gt;"",AO13="加算対象"),IF(AF13="○","入力済","未入力"),"")</f>
        <v/>
      </c>
      <c r="AR13" s="556" t="str">
        <f>"キャリアパス要件Ⅰ・Ⅱ_"&amp;AO13</f>
        <v>キャリアパス要件Ⅰ・Ⅱ_</v>
      </c>
      <c r="AS13" s="534" t="str">
        <f t="shared" ref="AS13:AS44" si="2">IF(AND(O13&lt;&gt;"", AG13=""), "未入力", "入力済")</f>
        <v>入力済</v>
      </c>
      <c r="AT13" s="551" t="str">
        <f>IF(AND(O13&lt;&gt;"", O13&lt;&gt;"処遇改善加算Ⅳ",AO13="加算対象"),"AH列に色付け","")</f>
        <v/>
      </c>
      <c r="AU13" s="534" t="str">
        <f t="shared" ref="AU13:AU44" si="3">IF(AND(O13&lt;&gt;"", O13&lt;&gt;"処遇改善加算Ⅳ",O13&lt;&gt;"処遇改善加算", AH13=""), "未入力", "入力済")</f>
        <v>入力済</v>
      </c>
      <c r="AV13" s="534" t="str">
        <f t="shared" ref="AV13:AV44" si="4">IF(OR(ISNUMBER(SEARCH("処遇改善加算Ⅰ",O13)),ISNUMBER(SEARCH("処遇改善加算Ⅱ",O13))),"対象","")</f>
        <v/>
      </c>
      <c r="AW13" s="534" t="str">
        <f>IF(AND(O13&lt;&gt;"", O13&lt;&gt;"処遇改善加算Ⅲ", O13&lt;&gt;"処遇改善加算Ⅳ",O13&lt;&gt;"処遇改善加算"),"対象", "")</f>
        <v/>
      </c>
      <c r="AX13" s="551" t="str">
        <f t="shared" ref="AX13:AX44" si="5">IF(AND(AW13=1, OR(AI13=0,AI13=""),AO13="加算対象"),"AH列に色付け","")</f>
        <v/>
      </c>
      <c r="AY13" s="534" t="str">
        <f>IFERROR(VLOOKUP(K13,【参考】数式用!$AR$3:$AS$49, 2, FALSE), "")</f>
        <v/>
      </c>
      <c r="AZ13" s="551" t="str">
        <f>IF(AND(AO13="加算対象",OR(O13="処遇改善加算Ⅰイ",O13="処遇改善加算Ⅰロ")),"AJ列に色付け","")</f>
        <v/>
      </c>
      <c r="BA13" s="555" t="str">
        <f t="shared" ref="BA13:BA44" si="6">IF(AND(OR(O13="処遇改善加算Ⅰイ",O13="処遇改善加算Ⅰロ"), AJ13=""), "未入力","入力済")</f>
        <v>入力済</v>
      </c>
      <c r="BB13" s="534" t="str">
        <f>IFERROR(VLOOKUP(K13,【参考】数式用!$AX$3:$AY$59, 2, FALSE), "")</f>
        <v/>
      </c>
      <c r="BC13" s="551" t="str">
        <f>IF(OR(COUNTIF(AG13:AI13,"*令和８年度特例要件を*")&gt;0,ISNUMBER(SEARCH("処遇改善加算Ⅰロ",O13)),ISNUMBER(SEARCH("処遇改善加算Ⅱロ",O13)),AO13="加算対象外"),"AK列に色付け","")</f>
        <v/>
      </c>
      <c r="BD13" s="555" t="str">
        <f t="shared" ref="BD13:BD44" si="7">IF(AND(COUNTIF(AG13:AI13,"*令和８年度特例要件を*")&gt;0,AK13=""), "未入力","入力済")</f>
        <v>入力済</v>
      </c>
      <c r="BE13" s="555" t="str">
        <f>IF(OR(ISNUMBER(SEARCH("処遇改善加算Ⅰロ",O13)),ISNUMBER(SEARCH("処遇改善加算Ⅱロ",O13))),"",IF(AND(BC13="AK列に色付け",AG13="○",AH13="○",AI13&gt;=1),"AK列色消し",""))</f>
        <v/>
      </c>
      <c r="BF13" s="555" t="str">
        <f>IF(AND(O13="処遇改善加算",AG13="○"),"AK列色消し","")</f>
        <v/>
      </c>
      <c r="BG13" s="555" t="str">
        <f>IF(OR(TRIM(BC13)="",BE13="AK列色消し",BF13="AK列色消し"),"","入力必要")</f>
        <v/>
      </c>
      <c r="BH13" s="555" t="str">
        <f t="shared" ref="BH13:BH44" si="8">IF(AND(BE13="",BG13="入力必要"),IF(AK13="","未入力","入力済"),"")</f>
        <v/>
      </c>
      <c r="BI13" s="555"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62" t="str">
        <f>IF(BN13="対象",ROUNDDOWN(L13*VLOOKUP(K13,【参考】数式用!$A$4:$J$42,10,FALSE)*AA13,0),"")</f>
        <v/>
      </c>
      <c r="BP13" t="str">
        <f>IF(BN13="特例",AC13,"")</f>
        <v/>
      </c>
      <c r="BQ13"/>
      <c r="BR13" s="259"/>
      <c r="BS13"/>
      <c r="BT13"/>
    </row>
    <row r="14" spans="1:73" s="260" customFormat="1" ht="109.95" customHeight="1" thickBot="1">
      <c r="A14" s="306">
        <v>2</v>
      </c>
      <c r="B14" s="646" t="str">
        <f>IF(基本情報入力シート!B36="","",基本情報入力シート!B36)</f>
        <v/>
      </c>
      <c r="C14" s="647"/>
      <c r="D14" s="647"/>
      <c r="E14" s="647"/>
      <c r="F14" s="648"/>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53" t="str">
        <f>IF(基本情報入力シート!AF36=0, "",基本情報入力シート!AF36)</f>
        <v/>
      </c>
      <c r="M14" s="519" t="str">
        <f>IF('別紙様式2-2（個票（４、５月））'!M14="","",'別紙様式2-2（個票（４、５月））'!M14)</f>
        <v/>
      </c>
      <c r="N14" s="518" t="str">
        <f>IF('別紙様式2-2（個票（４、５月））'!N14="","",'別紙様式2-2（個票（４、５月））'!N14)</f>
        <v/>
      </c>
      <c r="O14" s="289"/>
      <c r="P14" s="549" t="str">
        <f>IFERROR(VLOOKUP(K14,【参考】数式用!$A$2:$M$57,MATCH(O14,【参考】数式用!$G$3:$M$3,0)+6,0),"")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0" t="str">
        <f t="shared" ref="AD14:AD77" si="12">IFERROR(ROUNDDOWN(ROUND((L14*(P14-N14)),0),0)*AA14,"")</f>
        <v/>
      </c>
      <c r="AE14" s="310" t="str">
        <f>IFERROR(ROUNDDOWN(ROUNDDOWN(ROUND(L14*VLOOKUP(K14,【参考】数式用!$A$2:$M$57,MATCH("処遇改善加算Ⅳ",【参考】数式用!$G$3:$M$3,0)+6,0),0),0)*AA14*0.5,0), "")</f>
        <v/>
      </c>
      <c r="AF14" s="321"/>
      <c r="AG14" s="322"/>
      <c r="AH14" s="322"/>
      <c r="AI14" s="321"/>
      <c r="AJ14" s="323"/>
      <c r="AK14" s="329"/>
      <c r="AL14" s="327" t="str">
        <f t="shared" si="0"/>
        <v/>
      </c>
      <c r="AM14" s="328"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8"/>
      <c r="AO14" s="551" t="str">
        <f>IFERROR(VLOOKUP(K14,【参考】数式用!$A$2:$N$57,14,FALSE),"")</f>
        <v/>
      </c>
      <c r="AP14" s="551" t="str">
        <f t="shared" ref="AP14:AP77" si="14">IF(AND(K14&lt;&gt;""),"O列に色付け","")</f>
        <v/>
      </c>
      <c r="AQ14" s="556" t="str">
        <f t="shared" si="1"/>
        <v/>
      </c>
      <c r="AR14" s="556" t="str">
        <f>"キャリアパス要件Ⅰ・Ⅱ_"&amp;AO14</f>
        <v>キャリアパス要件Ⅰ・Ⅱ_</v>
      </c>
      <c r="AS14" s="534" t="str">
        <f t="shared" si="2"/>
        <v>入力済</v>
      </c>
      <c r="AT14" s="551" t="str">
        <f t="shared" ref="AT14:AT77" si="15">IF(AND(O14&lt;&gt;"", O14&lt;&gt;"処遇改善加算Ⅳ",AO14="加算対象"),"AH列に色付け","")</f>
        <v/>
      </c>
      <c r="AU14" s="534" t="str">
        <f t="shared" si="3"/>
        <v>入力済</v>
      </c>
      <c r="AV14" s="534" t="str">
        <f t="shared" si="4"/>
        <v/>
      </c>
      <c r="AW14" s="534" t="str">
        <f t="shared" ref="AW14:AW77" si="16">IF(AND(O14&lt;&gt;"", O14&lt;&gt;"処遇改善加算Ⅲ", O14&lt;&gt;"処遇改善加算Ⅳ",O14&lt;&gt;"処遇改善加算"),"対象", "")</f>
        <v/>
      </c>
      <c r="AX14" s="551" t="str">
        <f t="shared" si="5"/>
        <v/>
      </c>
      <c r="AY14" s="534" t="str">
        <f>IFERROR(VLOOKUP(K14,【参考】数式用!$AR$3:$AS$49, 2, FALSE), "")</f>
        <v/>
      </c>
      <c r="AZ14" s="551" t="str">
        <f t="shared" ref="AZ14:AZ77" si="17">IF(AND(AO14="加算対象",OR(O14="処遇改善加算Ⅰイ",O14="処遇改善加算Ⅰロ")),"AJ列に色付け","")</f>
        <v/>
      </c>
      <c r="BA14" s="555" t="str">
        <f t="shared" si="6"/>
        <v>入力済</v>
      </c>
      <c r="BB14" s="534" t="str">
        <f>IFERROR(VLOOKUP(K14,【参考】数式用!$AX$3:$AY$59, 2, FALSE), "")</f>
        <v/>
      </c>
      <c r="BC14" s="551" t="str">
        <f t="shared" ref="BC14:BC77" si="18">IF(OR(COUNTIF(AG14:AI14,"*令和８年度特例要件を*")&gt;0,ISNUMBER(SEARCH("処遇改善加算Ⅰロ",O14)),ISNUMBER(SEARCH("処遇改善加算Ⅱロ",O14)),AO14="加算対象外"),"AK列に色付け","")</f>
        <v/>
      </c>
      <c r="BD14" s="555" t="str">
        <f t="shared" si="7"/>
        <v>入力済</v>
      </c>
      <c r="BE14" s="555" t="str">
        <f t="shared" ref="BE14:BE77" si="19">IF(OR(ISNUMBER(SEARCH("処遇改善加算Ⅰロ",O14)),ISNUMBER(SEARCH("処遇改善加算Ⅱロ",O14))),"",IF(AND(BC14="AK列に色付け",AG14="○",AH14="○",AI14&gt;=1),"AK列色消し",""))</f>
        <v/>
      </c>
      <c r="BF14" s="555" t="str">
        <f t="shared" ref="BF14:BF77" si="20">IF(AND(O14="処遇改善加算",AG14="○"),"AK列色消し","")</f>
        <v/>
      </c>
      <c r="BG14" s="555" t="str">
        <f t="shared" ref="BG14:BG77" si="21">IF(OR(TRIM(BC14)="",BE14="AK列色消し",BF14="AK列色消し"),"","入力必要")</f>
        <v/>
      </c>
      <c r="BH14" s="555" t="str">
        <f t="shared" si="8"/>
        <v/>
      </c>
      <c r="BI14" s="555" t="str">
        <f t="shared" si="9"/>
        <v/>
      </c>
      <c r="BJ14" s="221"/>
      <c r="BK14" s="221"/>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62" t="str">
        <f>IF(BN14="対象",ROUNDDOWN(L14*VLOOKUP(K14,【参考】数式用!$A$4:$J$42,10,FALSE)*AA14,0),"")</f>
        <v/>
      </c>
      <c r="BP14" t="str">
        <f t="shared" ref="BP14:BP77" si="25">IF(BN14="特例",AC14,"")</f>
        <v/>
      </c>
      <c r="BQ14" s="221"/>
      <c r="BR14" s="221"/>
      <c r="BS14" s="221"/>
      <c r="BT14" s="222"/>
      <c r="BU14"/>
    </row>
    <row r="15" spans="1:73" s="260" customFormat="1" ht="109.95" customHeight="1" thickBot="1">
      <c r="A15" s="306">
        <v>3</v>
      </c>
      <c r="B15" s="646" t="str">
        <f>IF(基本情報入力シート!B37="","",基本情報入力シート!B37)</f>
        <v/>
      </c>
      <c r="C15" s="647"/>
      <c r="D15" s="647"/>
      <c r="E15" s="647"/>
      <c r="F15" s="648"/>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53" t="str">
        <f>IF(基本情報入力シート!AF37=0, "",基本情報入力シート!AF37)</f>
        <v/>
      </c>
      <c r="M15" s="519" t="str">
        <f>IF('別紙様式2-2（個票（４、５月））'!M15="","",'別紙様式2-2（個票（４、５月））'!M15)</f>
        <v/>
      </c>
      <c r="N15" s="518" t="str">
        <f>IF('別紙様式2-2（個票（４、５月））'!N15="","",'別紙様式2-2（個票（４、５月））'!N15)</f>
        <v/>
      </c>
      <c r="O15" s="289"/>
      <c r="P15" s="549" t="str">
        <f>IFERROR(VLOOKUP(K15,【参考】数式用!$A$2:$M$57,MATCH(O15,【参考】数式用!$G$3:$M$3,0)+6,0),"")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0" t="str">
        <f t="shared" si="12"/>
        <v/>
      </c>
      <c r="AE15" s="310" t="str">
        <f>IFERROR(ROUNDDOWN(ROUNDDOWN(ROUND(L15*VLOOKUP(K15,【参考】数式用!$A$2:$M$57,MATCH("処遇改善加算Ⅳ",【参考】数式用!$G$3:$M$3,0)+6,0),0),0)*AA15*0.5,0), "")</f>
        <v/>
      </c>
      <c r="AF15" s="321"/>
      <c r="AG15" s="322"/>
      <c r="AH15" s="322"/>
      <c r="AI15" s="321"/>
      <c r="AJ15" s="323"/>
      <c r="AK15" s="329"/>
      <c r="AL15" s="327" t="str">
        <f t="shared" si="0"/>
        <v/>
      </c>
      <c r="AM15" s="328" t="str">
        <f t="shared" si="13"/>
        <v/>
      </c>
      <c r="AN15" s="258"/>
      <c r="AO15" s="551" t="str">
        <f>IFERROR(VLOOKUP(K15,【参考】数式用!$A$2:$N$57,14,FALSE),"")</f>
        <v/>
      </c>
      <c r="AP15" s="551" t="str">
        <f t="shared" si="14"/>
        <v/>
      </c>
      <c r="AQ15" s="556" t="str">
        <f t="shared" si="1"/>
        <v/>
      </c>
      <c r="AR15" s="556" t="str">
        <f t="shared" ref="AR15:AR78" si="26">"キャリアパス要件Ⅰ・Ⅱ_"&amp;AO15</f>
        <v>キャリアパス要件Ⅰ・Ⅱ_</v>
      </c>
      <c r="AS15" s="534" t="str">
        <f t="shared" si="2"/>
        <v>入力済</v>
      </c>
      <c r="AT15" s="551" t="str">
        <f t="shared" si="15"/>
        <v/>
      </c>
      <c r="AU15" s="534" t="str">
        <f t="shared" si="3"/>
        <v>入力済</v>
      </c>
      <c r="AV15" s="534" t="str">
        <f t="shared" si="4"/>
        <v/>
      </c>
      <c r="AW15" s="534" t="str">
        <f t="shared" si="16"/>
        <v/>
      </c>
      <c r="AX15" s="551" t="str">
        <f t="shared" si="5"/>
        <v/>
      </c>
      <c r="AY15" s="534" t="str">
        <f>IFERROR(VLOOKUP(K15,【参考】数式用!$AR$3:$AS$49, 2, FALSE), "")</f>
        <v/>
      </c>
      <c r="AZ15" s="551" t="str">
        <f t="shared" si="17"/>
        <v/>
      </c>
      <c r="BA15" s="555" t="str">
        <f t="shared" si="6"/>
        <v>入力済</v>
      </c>
      <c r="BB15" s="534" t="str">
        <f>IFERROR(VLOOKUP(K15,【参考】数式用!$AX$3:$AY$59, 2, FALSE), "")</f>
        <v/>
      </c>
      <c r="BC15" s="551" t="str">
        <f t="shared" si="18"/>
        <v/>
      </c>
      <c r="BD15" s="555" t="str">
        <f t="shared" si="7"/>
        <v>入力済</v>
      </c>
      <c r="BE15" s="555" t="str">
        <f t="shared" si="19"/>
        <v/>
      </c>
      <c r="BF15" s="555" t="str">
        <f t="shared" si="20"/>
        <v/>
      </c>
      <c r="BG15" s="555" t="str">
        <f t="shared" si="21"/>
        <v/>
      </c>
      <c r="BH15" s="555" t="str">
        <f t="shared" si="8"/>
        <v/>
      </c>
      <c r="BI15" s="555" t="str">
        <f t="shared" si="9"/>
        <v/>
      </c>
      <c r="BJ15" s="221"/>
      <c r="BK15" s="221"/>
      <c r="BL15" t="str">
        <f t="shared" si="22"/>
        <v/>
      </c>
      <c r="BM15" t="str">
        <f t="shared" si="23"/>
        <v/>
      </c>
      <c r="BN15" t="str">
        <f t="shared" si="24"/>
        <v/>
      </c>
      <c r="BO15" s="562" t="str">
        <f>IF(BN15="対象",ROUNDDOWN(L15*VLOOKUP(K15,【参考】数式用!$A$4:$J$42,10,FALSE)*AA15,0),"")</f>
        <v/>
      </c>
      <c r="BP15" t="str">
        <f t="shared" si="25"/>
        <v/>
      </c>
      <c r="BQ15" s="221"/>
      <c r="BR15" s="221"/>
      <c r="BS15" s="221"/>
      <c r="BT15" s="222"/>
      <c r="BU15"/>
    </row>
    <row r="16" spans="1:73" s="260" customFormat="1" ht="109.95" customHeight="1" thickBot="1">
      <c r="A16" s="306">
        <v>3</v>
      </c>
      <c r="B16" s="646" t="str">
        <f>IF(基本情報入力シート!B38="","",基本情報入力シート!B38)</f>
        <v/>
      </c>
      <c r="C16" s="647"/>
      <c r="D16" s="647"/>
      <c r="E16" s="647"/>
      <c r="F16" s="648"/>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53" t="str">
        <f>IF(基本情報入力シート!AF38=0, "",基本情報入力シート!AF38)</f>
        <v/>
      </c>
      <c r="M16" s="519" t="str">
        <f>IF('別紙様式2-2（個票（４、５月））'!M16="","",'別紙様式2-2（個票（４、５月））'!M16)</f>
        <v/>
      </c>
      <c r="N16" s="518" t="str">
        <f>IF('別紙様式2-2（個票（４、５月））'!N16="","",'別紙様式2-2（個票（４、５月））'!N16)</f>
        <v/>
      </c>
      <c r="O16" s="289"/>
      <c r="P16" s="549" t="str">
        <f>IFERROR(VLOOKUP(K16,【参考】数式用!$A$2:$M$57,MATCH(O16,【参考】数式用!$G$3:$M$3,0)+6,0),"")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0" t="str">
        <f t="shared" si="12"/>
        <v/>
      </c>
      <c r="AE16" s="310" t="str">
        <f>IFERROR(ROUNDDOWN(ROUNDDOWN(ROUND(L16*VLOOKUP(K16,【参考】数式用!$A$2:$M$57,MATCH("処遇改善加算Ⅳ",【参考】数式用!$G$3:$M$3,0)+6,0),0),0)*AA16*0.5,0), "")</f>
        <v/>
      </c>
      <c r="AF16" s="321"/>
      <c r="AG16" s="322"/>
      <c r="AH16" s="322"/>
      <c r="AI16" s="321"/>
      <c r="AJ16" s="323"/>
      <c r="AK16" s="329"/>
      <c r="AL16" s="327" t="str">
        <f t="shared" si="0"/>
        <v/>
      </c>
      <c r="AM16" s="328" t="str">
        <f t="shared" si="13"/>
        <v/>
      </c>
      <c r="AN16" s="258"/>
      <c r="AO16" s="551" t="str">
        <f>IFERROR(VLOOKUP(K16,【参考】数式用!$A$2:$N$57,14,FALSE),"")</f>
        <v/>
      </c>
      <c r="AP16" s="551" t="str">
        <f t="shared" si="14"/>
        <v/>
      </c>
      <c r="AQ16" s="556" t="str">
        <f t="shared" si="1"/>
        <v/>
      </c>
      <c r="AR16" s="556" t="str">
        <f t="shared" si="26"/>
        <v>キャリアパス要件Ⅰ・Ⅱ_</v>
      </c>
      <c r="AS16" s="534" t="str">
        <f t="shared" si="2"/>
        <v>入力済</v>
      </c>
      <c r="AT16" s="551" t="str">
        <f t="shared" si="15"/>
        <v/>
      </c>
      <c r="AU16" s="534" t="str">
        <f t="shared" si="3"/>
        <v>入力済</v>
      </c>
      <c r="AV16" s="534" t="str">
        <f t="shared" si="4"/>
        <v/>
      </c>
      <c r="AW16" s="534" t="str">
        <f t="shared" si="16"/>
        <v/>
      </c>
      <c r="AX16" s="551" t="str">
        <f t="shared" si="5"/>
        <v/>
      </c>
      <c r="AY16" s="534" t="str">
        <f>IFERROR(VLOOKUP(K16,【参考】数式用!$AR$3:$AS$49, 2, FALSE), "")</f>
        <v/>
      </c>
      <c r="AZ16" s="551" t="str">
        <f t="shared" si="17"/>
        <v/>
      </c>
      <c r="BA16" s="555" t="str">
        <f t="shared" si="6"/>
        <v>入力済</v>
      </c>
      <c r="BB16" s="534" t="str">
        <f>IFERROR(VLOOKUP(K16,【参考】数式用!$AX$3:$AY$59, 2, FALSE), "")</f>
        <v/>
      </c>
      <c r="BC16" s="551" t="str">
        <f t="shared" si="18"/>
        <v/>
      </c>
      <c r="BD16" s="555" t="str">
        <f t="shared" si="7"/>
        <v>入力済</v>
      </c>
      <c r="BE16" s="555" t="str">
        <f t="shared" si="19"/>
        <v/>
      </c>
      <c r="BF16" s="555" t="str">
        <f t="shared" si="20"/>
        <v/>
      </c>
      <c r="BG16" s="555" t="str">
        <f t="shared" si="21"/>
        <v/>
      </c>
      <c r="BH16" s="555" t="str">
        <f t="shared" si="8"/>
        <v/>
      </c>
      <c r="BI16" s="555" t="str">
        <f t="shared" si="9"/>
        <v/>
      </c>
      <c r="BJ16" s="221"/>
      <c r="BK16" s="221"/>
      <c r="BL16" t="str">
        <f t="shared" si="22"/>
        <v/>
      </c>
      <c r="BM16" t="str">
        <f t="shared" si="23"/>
        <v/>
      </c>
      <c r="BN16" t="str">
        <f t="shared" si="24"/>
        <v/>
      </c>
      <c r="BO16" s="562" t="str">
        <f>IF(BN16="対象",ROUNDDOWN(L16*VLOOKUP(K16,【参考】数式用!$A$4:$J$42,10,FALSE)*AA16,0),"")</f>
        <v/>
      </c>
      <c r="BP16" t="str">
        <f t="shared" si="25"/>
        <v/>
      </c>
      <c r="BQ16" s="221"/>
      <c r="BR16" s="221"/>
      <c r="BS16" s="221"/>
      <c r="BT16" s="222"/>
      <c r="BU16"/>
    </row>
    <row r="17" spans="1:73" s="260" customFormat="1" ht="109.95" customHeight="1" thickBot="1">
      <c r="A17" s="306">
        <v>4</v>
      </c>
      <c r="B17" s="646" t="str">
        <f>IF(基本情報入力シート!B39="","",基本情報入力シート!B39)</f>
        <v/>
      </c>
      <c r="C17" s="647"/>
      <c r="D17" s="647"/>
      <c r="E17" s="647"/>
      <c r="F17" s="648"/>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53" t="str">
        <f>IF(基本情報入力シート!AF39=0, "",基本情報入力シート!AF39)</f>
        <v/>
      </c>
      <c r="M17" s="519" t="str">
        <f>IF('別紙様式2-2（個票（４、５月））'!M17="","",'別紙様式2-2（個票（４、５月））'!M17)</f>
        <v/>
      </c>
      <c r="N17" s="518" t="str">
        <f>IF('別紙様式2-2（個票（４、５月））'!N17="","",'別紙様式2-2（個票（４、５月））'!N17)</f>
        <v/>
      </c>
      <c r="O17" s="289"/>
      <c r="P17" s="549" t="str">
        <f>IFERROR(VLOOKUP(K17,【参考】数式用!$A$2:$M$57,MATCH(O17,【参考】数式用!$G$3:$M$3,0)+6,0),"")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0" t="str">
        <f t="shared" si="12"/>
        <v/>
      </c>
      <c r="AE17" s="310" t="str">
        <f>IFERROR(ROUNDDOWN(ROUNDDOWN(ROUND(L17*VLOOKUP(K17,【参考】数式用!$A$2:$M$57,MATCH("処遇改善加算Ⅳ",【参考】数式用!$G$3:$M$3,0)+6,0),0),0)*AA17*0.5,0), "")</f>
        <v/>
      </c>
      <c r="AF17" s="321"/>
      <c r="AG17" s="322"/>
      <c r="AH17" s="322"/>
      <c r="AI17" s="321"/>
      <c r="AJ17" s="323"/>
      <c r="AK17" s="329"/>
      <c r="AL17" s="327" t="str">
        <f t="shared" si="0"/>
        <v/>
      </c>
      <c r="AM17" s="328" t="str">
        <f t="shared" si="13"/>
        <v/>
      </c>
      <c r="AN17" s="258"/>
      <c r="AO17" s="551" t="str">
        <f>IFERROR(VLOOKUP(K17,【参考】数式用!$A$2:$N$57,14,FALSE),"")</f>
        <v/>
      </c>
      <c r="AP17" s="551" t="str">
        <f t="shared" si="14"/>
        <v/>
      </c>
      <c r="AQ17" s="556" t="str">
        <f t="shared" si="1"/>
        <v/>
      </c>
      <c r="AR17" s="556" t="str">
        <f t="shared" si="26"/>
        <v>キャリアパス要件Ⅰ・Ⅱ_</v>
      </c>
      <c r="AS17" s="534" t="str">
        <f t="shared" si="2"/>
        <v>入力済</v>
      </c>
      <c r="AT17" s="551" t="str">
        <f t="shared" si="15"/>
        <v/>
      </c>
      <c r="AU17" s="534" t="str">
        <f t="shared" si="3"/>
        <v>入力済</v>
      </c>
      <c r="AV17" s="534" t="str">
        <f t="shared" si="4"/>
        <v/>
      </c>
      <c r="AW17" s="534" t="str">
        <f t="shared" si="16"/>
        <v/>
      </c>
      <c r="AX17" s="551" t="str">
        <f t="shared" si="5"/>
        <v/>
      </c>
      <c r="AY17" s="534" t="str">
        <f>IFERROR(VLOOKUP(K17,【参考】数式用!$AR$3:$AS$49, 2, FALSE), "")</f>
        <v/>
      </c>
      <c r="AZ17" s="551" t="str">
        <f t="shared" si="17"/>
        <v/>
      </c>
      <c r="BA17" s="555" t="str">
        <f t="shared" si="6"/>
        <v>入力済</v>
      </c>
      <c r="BB17" s="534" t="str">
        <f>IFERROR(VLOOKUP(K17,【参考】数式用!$AX$3:$AY$59, 2, FALSE), "")</f>
        <v/>
      </c>
      <c r="BC17" s="551" t="str">
        <f t="shared" si="18"/>
        <v/>
      </c>
      <c r="BD17" s="555" t="str">
        <f t="shared" si="7"/>
        <v>入力済</v>
      </c>
      <c r="BE17" s="555" t="str">
        <f t="shared" si="19"/>
        <v/>
      </c>
      <c r="BF17" s="555" t="str">
        <f t="shared" si="20"/>
        <v/>
      </c>
      <c r="BG17" s="555" t="str">
        <f t="shared" si="21"/>
        <v/>
      </c>
      <c r="BH17" s="555" t="str">
        <f t="shared" si="8"/>
        <v/>
      </c>
      <c r="BI17" s="555" t="str">
        <f t="shared" si="9"/>
        <v/>
      </c>
      <c r="BJ17" s="221"/>
      <c r="BK17" s="221"/>
      <c r="BL17" t="str">
        <f t="shared" si="22"/>
        <v/>
      </c>
      <c r="BM17" t="str">
        <f t="shared" si="23"/>
        <v/>
      </c>
      <c r="BN17" t="str">
        <f t="shared" si="24"/>
        <v/>
      </c>
      <c r="BO17" s="562" t="str">
        <f>IF(BN17="対象",ROUNDDOWN(L17*VLOOKUP(K17,【参考】数式用!$A$4:$J$42,10,FALSE)*AA17,0),"")</f>
        <v/>
      </c>
      <c r="BP17" t="str">
        <f t="shared" si="25"/>
        <v/>
      </c>
      <c r="BQ17" s="221"/>
      <c r="BR17" s="221"/>
      <c r="BS17" s="221"/>
      <c r="BT17" s="222"/>
      <c r="BU17"/>
    </row>
    <row r="18" spans="1:73" s="260" customFormat="1" ht="109.95" customHeight="1" thickBot="1">
      <c r="A18" s="306">
        <v>5</v>
      </c>
      <c r="B18" s="646" t="str">
        <f>IF(基本情報入力シート!B40="","",基本情報入力シート!B40)</f>
        <v/>
      </c>
      <c r="C18" s="647"/>
      <c r="D18" s="647"/>
      <c r="E18" s="647"/>
      <c r="F18" s="648"/>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53" t="str">
        <f>IF(基本情報入力シート!AF40=0, "",基本情報入力シート!AF40)</f>
        <v/>
      </c>
      <c r="M18" s="519" t="str">
        <f>IF('別紙様式2-2（個票（４、５月））'!M18="","",'別紙様式2-2（個票（４、５月））'!M18)</f>
        <v/>
      </c>
      <c r="N18" s="518" t="str">
        <f>IF('別紙様式2-2（個票（４、５月））'!N18="","",'別紙様式2-2（個票（４、５月））'!N18)</f>
        <v/>
      </c>
      <c r="O18" s="289"/>
      <c r="P18" s="549" t="str">
        <f>IFERROR(VLOOKUP(K18,【参考】数式用!$A$2:$M$57,MATCH(O18,【参考】数式用!$G$3:$M$3,0)+6,0),"")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0" t="str">
        <f t="shared" si="12"/>
        <v/>
      </c>
      <c r="AE18" s="310" t="str">
        <f>IFERROR(ROUNDDOWN(ROUNDDOWN(ROUND(L18*VLOOKUP(K18,【参考】数式用!$A$2:$M$57,MATCH("処遇改善加算Ⅳ",【参考】数式用!$G$3:$M$3,0)+6,0),0),0)*AA18*0.5,0), "")</f>
        <v/>
      </c>
      <c r="AF18" s="321"/>
      <c r="AG18" s="322"/>
      <c r="AH18" s="322"/>
      <c r="AI18" s="321"/>
      <c r="AJ18" s="323"/>
      <c r="AK18" s="329"/>
      <c r="AL18" s="327" t="str">
        <f t="shared" si="0"/>
        <v/>
      </c>
      <c r="AM18" s="328" t="str">
        <f t="shared" si="13"/>
        <v/>
      </c>
      <c r="AN18" s="258"/>
      <c r="AO18" s="551" t="str">
        <f>IFERROR(VLOOKUP(K18,【参考】数式用!$A$2:$N$57,14,FALSE),"")</f>
        <v/>
      </c>
      <c r="AP18" s="551" t="str">
        <f t="shared" si="14"/>
        <v/>
      </c>
      <c r="AQ18" s="556" t="str">
        <f t="shared" si="1"/>
        <v/>
      </c>
      <c r="AR18" s="556" t="str">
        <f t="shared" si="26"/>
        <v>キャリアパス要件Ⅰ・Ⅱ_</v>
      </c>
      <c r="AS18" s="534" t="str">
        <f t="shared" si="2"/>
        <v>入力済</v>
      </c>
      <c r="AT18" s="551" t="str">
        <f t="shared" si="15"/>
        <v/>
      </c>
      <c r="AU18" s="534" t="str">
        <f t="shared" si="3"/>
        <v>入力済</v>
      </c>
      <c r="AV18" s="534" t="str">
        <f t="shared" si="4"/>
        <v/>
      </c>
      <c r="AW18" s="534" t="str">
        <f t="shared" si="16"/>
        <v/>
      </c>
      <c r="AX18" s="551" t="str">
        <f t="shared" si="5"/>
        <v/>
      </c>
      <c r="AY18" s="534" t="str">
        <f>IFERROR(VLOOKUP(K18,【参考】数式用!$AR$3:$AS$49, 2, FALSE), "")</f>
        <v/>
      </c>
      <c r="AZ18" s="551" t="str">
        <f t="shared" si="17"/>
        <v/>
      </c>
      <c r="BA18" s="555" t="str">
        <f t="shared" si="6"/>
        <v>入力済</v>
      </c>
      <c r="BB18" s="534" t="str">
        <f>IFERROR(VLOOKUP(K18,【参考】数式用!$AX$3:$AY$59, 2, FALSE), "")</f>
        <v/>
      </c>
      <c r="BC18" s="551" t="str">
        <f t="shared" si="18"/>
        <v/>
      </c>
      <c r="BD18" s="555" t="str">
        <f t="shared" si="7"/>
        <v>入力済</v>
      </c>
      <c r="BE18" s="555" t="str">
        <f t="shared" si="19"/>
        <v/>
      </c>
      <c r="BF18" s="555" t="str">
        <f t="shared" si="20"/>
        <v/>
      </c>
      <c r="BG18" s="555" t="str">
        <f t="shared" si="21"/>
        <v/>
      </c>
      <c r="BH18" s="555" t="str">
        <f t="shared" si="8"/>
        <v/>
      </c>
      <c r="BI18" s="555" t="str">
        <f t="shared" si="9"/>
        <v/>
      </c>
      <c r="BL18" t="str">
        <f t="shared" si="22"/>
        <v/>
      </c>
      <c r="BM18" t="str">
        <f t="shared" si="23"/>
        <v/>
      </c>
      <c r="BN18" t="str">
        <f t="shared" si="24"/>
        <v/>
      </c>
      <c r="BO18" s="562" t="str">
        <f>IF(BN18="対象",ROUNDDOWN(L18*VLOOKUP(K18,【参考】数式用!$A$4:$J$42,10,FALSE)*AA18,0),"")</f>
        <v/>
      </c>
      <c r="BP18" t="str">
        <f t="shared" si="25"/>
        <v/>
      </c>
    </row>
    <row r="19" spans="1:73" s="260" customFormat="1" ht="109.95" customHeight="1" thickBot="1">
      <c r="A19" s="306">
        <v>6</v>
      </c>
      <c r="B19" s="646" t="str">
        <f>IF(基本情報入力シート!B41="","",基本情報入力シート!B41)</f>
        <v/>
      </c>
      <c r="C19" s="647"/>
      <c r="D19" s="647"/>
      <c r="E19" s="647"/>
      <c r="F19" s="648"/>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53" t="str">
        <f>IF(基本情報入力シート!AF41=0, "",基本情報入力シート!AF41)</f>
        <v/>
      </c>
      <c r="M19" s="519" t="str">
        <f>IF('別紙様式2-2（個票（４、５月））'!M19="","",'別紙様式2-2（個票（４、５月））'!M19)</f>
        <v/>
      </c>
      <c r="N19" s="518" t="str">
        <f>IF('別紙様式2-2（個票（４、５月））'!N19="","",'別紙様式2-2（個票（４、５月））'!N19)</f>
        <v/>
      </c>
      <c r="O19" s="289"/>
      <c r="P19" s="549" t="str">
        <f>IFERROR(VLOOKUP(K19,【参考】数式用!$A$2:$M$57,MATCH(O19,【参考】数式用!$G$3:$M$3,0)+6,0),"")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0" t="str">
        <f t="shared" si="12"/>
        <v/>
      </c>
      <c r="AE19" s="310" t="str">
        <f>IFERROR(ROUNDDOWN(ROUNDDOWN(ROUND(L19*VLOOKUP(K19,【参考】数式用!$A$2:$M$57,MATCH("処遇改善加算Ⅳ",【参考】数式用!$G$3:$M$3,0)+6,0),0),0)*AA19*0.5,0), "")</f>
        <v/>
      </c>
      <c r="AF19" s="321"/>
      <c r="AG19" s="322"/>
      <c r="AH19" s="322"/>
      <c r="AI19" s="321"/>
      <c r="AJ19" s="323"/>
      <c r="AK19" s="329"/>
      <c r="AL19" s="327" t="str">
        <f t="shared" si="0"/>
        <v/>
      </c>
      <c r="AM19" s="328" t="str">
        <f t="shared" si="13"/>
        <v/>
      </c>
      <c r="AN19" s="258"/>
      <c r="AO19" s="551" t="str">
        <f>IFERROR(VLOOKUP(K19,【参考】数式用!$A$2:$N$57,14,FALSE),"")</f>
        <v/>
      </c>
      <c r="AP19" s="551" t="str">
        <f t="shared" si="14"/>
        <v/>
      </c>
      <c r="AQ19" s="556" t="str">
        <f t="shared" si="1"/>
        <v/>
      </c>
      <c r="AR19" s="556" t="str">
        <f t="shared" si="26"/>
        <v>キャリアパス要件Ⅰ・Ⅱ_</v>
      </c>
      <c r="AS19" s="534" t="str">
        <f t="shared" si="2"/>
        <v>入力済</v>
      </c>
      <c r="AT19" s="551" t="str">
        <f t="shared" si="15"/>
        <v/>
      </c>
      <c r="AU19" s="534" t="str">
        <f t="shared" si="3"/>
        <v>入力済</v>
      </c>
      <c r="AV19" s="534" t="str">
        <f t="shared" si="4"/>
        <v/>
      </c>
      <c r="AW19" s="534" t="str">
        <f t="shared" si="16"/>
        <v/>
      </c>
      <c r="AX19" s="551" t="str">
        <f t="shared" si="5"/>
        <v/>
      </c>
      <c r="AY19" s="534" t="str">
        <f>IFERROR(VLOOKUP(K19,【参考】数式用!$AR$3:$AS$49, 2, FALSE), "")</f>
        <v/>
      </c>
      <c r="AZ19" s="551" t="str">
        <f t="shared" si="17"/>
        <v/>
      </c>
      <c r="BA19" s="555" t="str">
        <f t="shared" si="6"/>
        <v>入力済</v>
      </c>
      <c r="BB19" s="534" t="str">
        <f>IFERROR(VLOOKUP(K19,【参考】数式用!$AX$3:$AY$59, 2, FALSE), "")</f>
        <v/>
      </c>
      <c r="BC19" s="551" t="str">
        <f t="shared" si="18"/>
        <v/>
      </c>
      <c r="BD19" s="555" t="str">
        <f t="shared" si="7"/>
        <v>入力済</v>
      </c>
      <c r="BE19" s="555" t="str">
        <f t="shared" si="19"/>
        <v/>
      </c>
      <c r="BF19" s="555" t="str">
        <f t="shared" si="20"/>
        <v/>
      </c>
      <c r="BG19" s="555" t="str">
        <f t="shared" si="21"/>
        <v/>
      </c>
      <c r="BH19" s="555" t="str">
        <f t="shared" si="8"/>
        <v/>
      </c>
      <c r="BI19" s="555" t="str">
        <f t="shared" si="9"/>
        <v/>
      </c>
      <c r="BL19" t="str">
        <f t="shared" si="22"/>
        <v/>
      </c>
      <c r="BM19" t="str">
        <f t="shared" si="23"/>
        <v/>
      </c>
      <c r="BN19" t="str">
        <f t="shared" si="24"/>
        <v/>
      </c>
      <c r="BO19" s="562" t="str">
        <f>IF(BN19="対象",ROUNDDOWN(L19*VLOOKUP(K19,【参考】数式用!$A$4:$J$42,10,FALSE)*AA19,0),"")</f>
        <v/>
      </c>
      <c r="BP19" t="str">
        <f t="shared" si="25"/>
        <v/>
      </c>
    </row>
    <row r="20" spans="1:73" s="260" customFormat="1" ht="109.95" customHeight="1" thickBot="1">
      <c r="A20" s="306">
        <v>7</v>
      </c>
      <c r="B20" s="665" t="str">
        <f>IF(基本情報入力シート!B42="","",基本情報入力シート!B42)</f>
        <v/>
      </c>
      <c r="C20" s="666"/>
      <c r="D20" s="666"/>
      <c r="E20" s="666"/>
      <c r="F20" s="667"/>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53" t="str">
        <f>IF(基本情報入力シート!AF42=0, "",基本情報入力シート!AF42)</f>
        <v/>
      </c>
      <c r="M20" s="519" t="str">
        <f>IF('別紙様式2-2（個票（４、５月））'!M20="","",'別紙様式2-2（個票（４、５月））'!M20)</f>
        <v/>
      </c>
      <c r="N20" s="518" t="str">
        <f>IF('別紙様式2-2（個票（４、５月））'!N20="","",'別紙様式2-2（個票（４、５月））'!N20)</f>
        <v/>
      </c>
      <c r="O20" s="289"/>
      <c r="P20" s="549" t="str">
        <f>IFERROR(VLOOKUP(K20,【参考】数式用!$A$2:$M$57,MATCH(O20,【参考】数式用!$G$3:$M$3,0)+6,0),"")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0" t="str">
        <f t="shared" si="12"/>
        <v/>
      </c>
      <c r="AE20" s="310" t="str">
        <f>IFERROR(ROUNDDOWN(ROUNDDOWN(ROUND(L20*VLOOKUP(K20,【参考】数式用!$A$2:$M$57,MATCH("処遇改善加算Ⅳ",【参考】数式用!$G$3:$M$3,0)+6,0),0),0)*AA20*0.5,0), "")</f>
        <v/>
      </c>
      <c r="AF20" s="321"/>
      <c r="AG20" s="322"/>
      <c r="AH20" s="322"/>
      <c r="AI20" s="321"/>
      <c r="AJ20" s="323"/>
      <c r="AK20" s="329"/>
      <c r="AL20" s="327" t="str">
        <f t="shared" si="0"/>
        <v/>
      </c>
      <c r="AM20" s="328" t="str">
        <f t="shared" si="13"/>
        <v/>
      </c>
      <c r="AN20" s="258"/>
      <c r="AO20" s="551" t="str">
        <f>IFERROR(VLOOKUP(K20,【参考】数式用!$A$2:$N$57,14,FALSE),"")</f>
        <v/>
      </c>
      <c r="AP20" s="551" t="str">
        <f t="shared" si="14"/>
        <v/>
      </c>
      <c r="AQ20" s="556" t="str">
        <f t="shared" si="1"/>
        <v/>
      </c>
      <c r="AR20" s="556" t="str">
        <f t="shared" si="26"/>
        <v>キャリアパス要件Ⅰ・Ⅱ_</v>
      </c>
      <c r="AS20" s="534" t="str">
        <f t="shared" si="2"/>
        <v>入力済</v>
      </c>
      <c r="AT20" s="551" t="str">
        <f t="shared" si="15"/>
        <v/>
      </c>
      <c r="AU20" s="534" t="str">
        <f t="shared" si="3"/>
        <v>入力済</v>
      </c>
      <c r="AV20" s="534" t="str">
        <f t="shared" si="4"/>
        <v/>
      </c>
      <c r="AW20" s="534" t="str">
        <f t="shared" si="16"/>
        <v/>
      </c>
      <c r="AX20" s="551" t="str">
        <f t="shared" si="5"/>
        <v/>
      </c>
      <c r="AY20" s="534" t="str">
        <f>IFERROR(VLOOKUP(K20,【参考】数式用!$AR$3:$AS$49, 2, FALSE), "")</f>
        <v/>
      </c>
      <c r="AZ20" s="551" t="str">
        <f t="shared" si="17"/>
        <v/>
      </c>
      <c r="BA20" s="555" t="str">
        <f t="shared" si="6"/>
        <v>入力済</v>
      </c>
      <c r="BB20" s="534" t="str">
        <f>IFERROR(VLOOKUP(K20,【参考】数式用!$AX$3:$AY$59, 2, FALSE), "")</f>
        <v/>
      </c>
      <c r="BC20" s="551" t="str">
        <f t="shared" si="18"/>
        <v/>
      </c>
      <c r="BD20" s="555" t="str">
        <f t="shared" si="7"/>
        <v>入力済</v>
      </c>
      <c r="BE20" s="555" t="str">
        <f t="shared" si="19"/>
        <v/>
      </c>
      <c r="BF20" s="555" t="str">
        <f t="shared" si="20"/>
        <v/>
      </c>
      <c r="BG20" s="555" t="str">
        <f t="shared" si="21"/>
        <v/>
      </c>
      <c r="BH20" s="555" t="str">
        <f t="shared" si="8"/>
        <v/>
      </c>
      <c r="BI20" s="555" t="str">
        <f t="shared" si="9"/>
        <v/>
      </c>
      <c r="BL20" t="str">
        <f t="shared" si="22"/>
        <v/>
      </c>
      <c r="BM20" t="str">
        <f t="shared" si="23"/>
        <v/>
      </c>
      <c r="BN20" t="str">
        <f t="shared" si="24"/>
        <v/>
      </c>
      <c r="BO20" s="562" t="str">
        <f>IF(BN20="対象",ROUNDDOWN(L20*VLOOKUP(K20,【参考】数式用!$A$4:$J$42,10,FALSE)*AA20,0),"")</f>
        <v/>
      </c>
      <c r="BP20" t="str">
        <f t="shared" si="25"/>
        <v/>
      </c>
    </row>
    <row r="21" spans="1:73" s="260" customFormat="1" ht="109.95" customHeight="1" thickBot="1">
      <c r="A21" s="306">
        <v>8</v>
      </c>
      <c r="B21" s="646" t="str">
        <f>IF(基本情報入力シート!B43="","",基本情報入力シート!B43)</f>
        <v/>
      </c>
      <c r="C21" s="647"/>
      <c r="D21" s="647"/>
      <c r="E21" s="647"/>
      <c r="F21" s="648"/>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53" t="str">
        <f>IF(基本情報入力シート!AF43=0, "",基本情報入力シート!AF43)</f>
        <v/>
      </c>
      <c r="M21" s="519" t="str">
        <f>IF('別紙様式2-2（個票（４、５月））'!M21="","",'別紙様式2-2（個票（４、５月））'!M21)</f>
        <v/>
      </c>
      <c r="N21" s="518" t="str">
        <f>IF('別紙様式2-2（個票（４、５月））'!N21="","",'別紙様式2-2（個票（４、５月））'!N21)</f>
        <v/>
      </c>
      <c r="O21" s="289"/>
      <c r="P21" s="549" t="str">
        <f>IFERROR(VLOOKUP(K21,【参考】数式用!$A$2:$M$57,MATCH(O21,【参考】数式用!$G$3:$M$3,0)+6,0),"")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0" t="str">
        <f t="shared" si="12"/>
        <v/>
      </c>
      <c r="AE21" s="310" t="str">
        <f>IFERROR(ROUNDDOWN(ROUNDDOWN(ROUND(L21*VLOOKUP(K21,【参考】数式用!$A$2:$M$57,MATCH("処遇改善加算Ⅳ",【参考】数式用!$G$3:$M$3,0)+6,0),0),0)*AA21*0.5,0), "")</f>
        <v/>
      </c>
      <c r="AF21" s="321"/>
      <c r="AG21" s="322"/>
      <c r="AH21" s="322"/>
      <c r="AI21" s="321"/>
      <c r="AJ21" s="323"/>
      <c r="AK21" s="329"/>
      <c r="AL21" s="327" t="str">
        <f t="shared" si="0"/>
        <v/>
      </c>
      <c r="AM21" s="328" t="str">
        <f t="shared" si="13"/>
        <v/>
      </c>
      <c r="AN21" s="258"/>
      <c r="AO21" s="551" t="str">
        <f>IFERROR(VLOOKUP(K21,【参考】数式用!$A$2:$N$57,14,FALSE),"")</f>
        <v/>
      </c>
      <c r="AP21" s="551" t="str">
        <f t="shared" si="14"/>
        <v/>
      </c>
      <c r="AQ21" s="556" t="str">
        <f t="shared" si="1"/>
        <v/>
      </c>
      <c r="AR21" s="556" t="str">
        <f t="shared" si="26"/>
        <v>キャリアパス要件Ⅰ・Ⅱ_</v>
      </c>
      <c r="AS21" s="534" t="str">
        <f t="shared" si="2"/>
        <v>入力済</v>
      </c>
      <c r="AT21" s="551" t="str">
        <f t="shared" si="15"/>
        <v/>
      </c>
      <c r="AU21" s="534" t="str">
        <f t="shared" si="3"/>
        <v>入力済</v>
      </c>
      <c r="AV21" s="534" t="str">
        <f t="shared" si="4"/>
        <v/>
      </c>
      <c r="AW21" s="534" t="str">
        <f t="shared" si="16"/>
        <v/>
      </c>
      <c r="AX21" s="551" t="str">
        <f t="shared" si="5"/>
        <v/>
      </c>
      <c r="AY21" s="534" t="str">
        <f>IFERROR(VLOOKUP(K21,【参考】数式用!$AR$3:$AS$49, 2, FALSE), "")</f>
        <v/>
      </c>
      <c r="AZ21" s="551" t="str">
        <f t="shared" si="17"/>
        <v/>
      </c>
      <c r="BA21" s="555" t="str">
        <f t="shared" si="6"/>
        <v>入力済</v>
      </c>
      <c r="BB21" s="534" t="str">
        <f>IFERROR(VLOOKUP(K21,【参考】数式用!$AX$3:$AY$59, 2, FALSE), "")</f>
        <v/>
      </c>
      <c r="BC21" s="551" t="str">
        <f t="shared" si="18"/>
        <v/>
      </c>
      <c r="BD21" s="555" t="str">
        <f t="shared" si="7"/>
        <v>入力済</v>
      </c>
      <c r="BE21" s="555" t="str">
        <f t="shared" si="19"/>
        <v/>
      </c>
      <c r="BF21" s="555" t="str">
        <f t="shared" si="20"/>
        <v/>
      </c>
      <c r="BG21" s="555" t="str">
        <f t="shared" si="21"/>
        <v/>
      </c>
      <c r="BH21" s="555" t="str">
        <f t="shared" si="8"/>
        <v/>
      </c>
      <c r="BI21" s="555" t="str">
        <f t="shared" si="9"/>
        <v/>
      </c>
      <c r="BL21" t="str">
        <f t="shared" si="22"/>
        <v/>
      </c>
      <c r="BM21" t="str">
        <f t="shared" si="23"/>
        <v/>
      </c>
      <c r="BN21" t="str">
        <f t="shared" si="24"/>
        <v/>
      </c>
      <c r="BO21" s="562" t="str">
        <f>IF(BN21="対象",ROUNDDOWN(L21*VLOOKUP(K21,【参考】数式用!$A$4:$J$42,10,FALSE)*AA21,0),"")</f>
        <v/>
      </c>
      <c r="BP21" t="str">
        <f t="shared" si="25"/>
        <v/>
      </c>
    </row>
    <row r="22" spans="1:73" s="260" customFormat="1" ht="109.95" customHeight="1" thickBot="1">
      <c r="A22" s="306">
        <v>9</v>
      </c>
      <c r="B22" s="646" t="str">
        <f>IF(基本情報入力シート!B44="","",基本情報入力シート!B44)</f>
        <v/>
      </c>
      <c r="C22" s="647"/>
      <c r="D22" s="647"/>
      <c r="E22" s="647"/>
      <c r="F22" s="648"/>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53" t="str">
        <f>IF(基本情報入力シート!AF44=0, "",基本情報入力シート!AF44)</f>
        <v/>
      </c>
      <c r="M22" s="519" t="str">
        <f>IF('別紙様式2-2（個票（４、５月））'!M22="","",'別紙様式2-2（個票（４、５月））'!M22)</f>
        <v/>
      </c>
      <c r="N22" s="518" t="str">
        <f>IF('別紙様式2-2（個票（４、５月））'!N22="","",'別紙様式2-2（個票（４、５月））'!N22)</f>
        <v/>
      </c>
      <c r="O22" s="289"/>
      <c r="P22" s="549" t="str">
        <f>IFERROR(VLOOKUP(K22,【参考】数式用!$A$2:$M$57,MATCH(O22,【参考】数式用!$G$3:$M$3,0)+6,0),"")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0" t="str">
        <f t="shared" si="12"/>
        <v/>
      </c>
      <c r="AE22" s="310" t="str">
        <f>IFERROR(ROUNDDOWN(ROUNDDOWN(ROUND(L22*VLOOKUP(K22,【参考】数式用!$A$2:$M$57,MATCH("処遇改善加算Ⅳ",【参考】数式用!$G$3:$M$3,0)+6,0),0),0)*AA22*0.5,0), "")</f>
        <v/>
      </c>
      <c r="AF22" s="321"/>
      <c r="AG22" s="322"/>
      <c r="AH22" s="322"/>
      <c r="AI22" s="321"/>
      <c r="AJ22" s="323"/>
      <c r="AK22" s="329"/>
      <c r="AL22" s="327" t="str">
        <f t="shared" si="0"/>
        <v/>
      </c>
      <c r="AM22" s="328" t="str">
        <f t="shared" si="13"/>
        <v/>
      </c>
      <c r="AN22" s="258"/>
      <c r="AO22" s="551" t="str">
        <f>IFERROR(VLOOKUP(K22,【参考】数式用!$A$2:$N$57,14,FALSE),"")</f>
        <v/>
      </c>
      <c r="AP22" s="551" t="str">
        <f t="shared" si="14"/>
        <v/>
      </c>
      <c r="AQ22" s="556" t="str">
        <f t="shared" si="1"/>
        <v/>
      </c>
      <c r="AR22" s="556" t="str">
        <f t="shared" si="26"/>
        <v>キャリアパス要件Ⅰ・Ⅱ_</v>
      </c>
      <c r="AS22" s="534" t="str">
        <f t="shared" si="2"/>
        <v>入力済</v>
      </c>
      <c r="AT22" s="551" t="str">
        <f t="shared" si="15"/>
        <v/>
      </c>
      <c r="AU22" s="534" t="str">
        <f t="shared" si="3"/>
        <v>入力済</v>
      </c>
      <c r="AV22" s="534" t="str">
        <f t="shared" si="4"/>
        <v/>
      </c>
      <c r="AW22" s="534" t="str">
        <f t="shared" si="16"/>
        <v/>
      </c>
      <c r="AX22" s="551" t="str">
        <f t="shared" si="5"/>
        <v/>
      </c>
      <c r="AY22" s="534" t="str">
        <f>IFERROR(VLOOKUP(K22,【参考】数式用!$AR$3:$AS$49, 2, FALSE), "")</f>
        <v/>
      </c>
      <c r="AZ22" s="551" t="str">
        <f t="shared" si="17"/>
        <v/>
      </c>
      <c r="BA22" s="555" t="str">
        <f t="shared" si="6"/>
        <v>入力済</v>
      </c>
      <c r="BB22" s="534" t="str">
        <f>IFERROR(VLOOKUP(K22,【参考】数式用!$AX$3:$AY$59, 2, FALSE), "")</f>
        <v/>
      </c>
      <c r="BC22" s="551" t="str">
        <f t="shared" si="18"/>
        <v/>
      </c>
      <c r="BD22" s="555" t="str">
        <f t="shared" si="7"/>
        <v>入力済</v>
      </c>
      <c r="BE22" s="555" t="str">
        <f t="shared" si="19"/>
        <v/>
      </c>
      <c r="BF22" s="555" t="str">
        <f t="shared" si="20"/>
        <v/>
      </c>
      <c r="BG22" s="555" t="str">
        <f t="shared" si="21"/>
        <v/>
      </c>
      <c r="BH22" s="555" t="str">
        <f t="shared" si="8"/>
        <v/>
      </c>
      <c r="BI22" s="555" t="str">
        <f t="shared" si="9"/>
        <v/>
      </c>
      <c r="BL22" t="str">
        <f t="shared" si="22"/>
        <v/>
      </c>
      <c r="BM22" t="str">
        <f t="shared" si="23"/>
        <v/>
      </c>
      <c r="BN22" t="str">
        <f t="shared" si="24"/>
        <v/>
      </c>
      <c r="BO22" s="562" t="str">
        <f>IF(BN22="対象",ROUNDDOWN(L22*VLOOKUP(K22,【参考】数式用!$A$4:$J$42,10,FALSE)*AA22,0),"")</f>
        <v/>
      </c>
      <c r="BP22" t="str">
        <f t="shared" si="25"/>
        <v/>
      </c>
    </row>
    <row r="23" spans="1:73" s="260" customFormat="1" ht="109.95" customHeight="1" thickBot="1">
      <c r="A23" s="306">
        <v>10</v>
      </c>
      <c r="B23" s="646" t="str">
        <f>IF(基本情報入力シート!B45="","",基本情報入力シート!B45)</f>
        <v/>
      </c>
      <c r="C23" s="647"/>
      <c r="D23" s="647"/>
      <c r="E23" s="647"/>
      <c r="F23" s="648"/>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53" t="str">
        <f>IF(基本情報入力シート!AF45=0, "",基本情報入力シート!AF45)</f>
        <v/>
      </c>
      <c r="M23" s="519" t="str">
        <f>IF('別紙様式2-2（個票（４、５月））'!M23="","",'別紙様式2-2（個票（４、５月））'!M23)</f>
        <v/>
      </c>
      <c r="N23" s="518" t="str">
        <f>IF('別紙様式2-2（個票（４、５月））'!N23="","",'別紙様式2-2（個票（４、５月））'!N23)</f>
        <v/>
      </c>
      <c r="O23" s="289"/>
      <c r="P23" s="549" t="str">
        <f>IFERROR(VLOOKUP(K23,【参考】数式用!$A$2:$M$57,MATCH(O23,【参考】数式用!$G$3:$M$3,0)+6,0),"")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0" t="str">
        <f t="shared" si="12"/>
        <v/>
      </c>
      <c r="AE23" s="310" t="str">
        <f>IFERROR(ROUNDDOWN(ROUNDDOWN(ROUND(L23*VLOOKUP(K23,【参考】数式用!$A$2:$M$57,MATCH("処遇改善加算Ⅳ",【参考】数式用!$G$3:$M$3,0)+6,0),0),0)*AA23*0.5,0), "")</f>
        <v/>
      </c>
      <c r="AF23" s="321"/>
      <c r="AG23" s="322"/>
      <c r="AH23" s="322"/>
      <c r="AI23" s="321"/>
      <c r="AJ23" s="323"/>
      <c r="AK23" s="329"/>
      <c r="AL23" s="327" t="str">
        <f t="shared" si="0"/>
        <v/>
      </c>
      <c r="AM23" s="328" t="str">
        <f t="shared" si="13"/>
        <v/>
      </c>
      <c r="AN23" s="258"/>
      <c r="AO23" s="551" t="str">
        <f>IFERROR(VLOOKUP(K23,【参考】数式用!$A$2:$N$57,14,FALSE),"")</f>
        <v/>
      </c>
      <c r="AP23" s="551" t="str">
        <f t="shared" si="14"/>
        <v/>
      </c>
      <c r="AQ23" s="556" t="str">
        <f t="shared" si="1"/>
        <v/>
      </c>
      <c r="AR23" s="556" t="str">
        <f t="shared" si="26"/>
        <v>キャリアパス要件Ⅰ・Ⅱ_</v>
      </c>
      <c r="AS23" s="534" t="str">
        <f t="shared" si="2"/>
        <v>入力済</v>
      </c>
      <c r="AT23" s="551" t="str">
        <f t="shared" si="15"/>
        <v/>
      </c>
      <c r="AU23" s="534" t="str">
        <f t="shared" si="3"/>
        <v>入力済</v>
      </c>
      <c r="AV23" s="534" t="str">
        <f t="shared" si="4"/>
        <v/>
      </c>
      <c r="AW23" s="534" t="str">
        <f t="shared" si="16"/>
        <v/>
      </c>
      <c r="AX23" s="551" t="str">
        <f t="shared" si="5"/>
        <v/>
      </c>
      <c r="AY23" s="534" t="str">
        <f>IFERROR(VLOOKUP(K23,【参考】数式用!$AR$3:$AS$49, 2, FALSE), "")</f>
        <v/>
      </c>
      <c r="AZ23" s="551" t="str">
        <f t="shared" si="17"/>
        <v/>
      </c>
      <c r="BA23" s="555" t="str">
        <f t="shared" si="6"/>
        <v>入力済</v>
      </c>
      <c r="BB23" s="534" t="str">
        <f>IFERROR(VLOOKUP(K23,【参考】数式用!$AX$3:$AY$59, 2, FALSE), "")</f>
        <v/>
      </c>
      <c r="BC23" s="551" t="str">
        <f t="shared" si="18"/>
        <v/>
      </c>
      <c r="BD23" s="555" t="str">
        <f t="shared" si="7"/>
        <v>入力済</v>
      </c>
      <c r="BE23" s="555" t="str">
        <f t="shared" si="19"/>
        <v/>
      </c>
      <c r="BF23" s="555" t="str">
        <f t="shared" si="20"/>
        <v/>
      </c>
      <c r="BG23" s="555" t="str">
        <f t="shared" si="21"/>
        <v/>
      </c>
      <c r="BH23" s="555" t="str">
        <f t="shared" si="8"/>
        <v/>
      </c>
      <c r="BI23" s="555" t="str">
        <f t="shared" si="9"/>
        <v/>
      </c>
      <c r="BL23" t="str">
        <f t="shared" si="22"/>
        <v/>
      </c>
      <c r="BM23" t="str">
        <f t="shared" si="23"/>
        <v/>
      </c>
      <c r="BN23" t="str">
        <f t="shared" si="24"/>
        <v/>
      </c>
      <c r="BO23" s="562" t="str">
        <f>IF(BN23="対象",ROUNDDOWN(L23*VLOOKUP(K23,【参考】数式用!$A$4:$J$42,10,FALSE)*AA23,0),"")</f>
        <v/>
      </c>
      <c r="BP23" t="str">
        <f t="shared" si="25"/>
        <v/>
      </c>
    </row>
    <row r="24" spans="1:73" s="260" customFormat="1" ht="109.95" customHeight="1" thickBot="1">
      <c r="A24" s="306">
        <v>11</v>
      </c>
      <c r="B24" s="646" t="str">
        <f>IF(基本情報入力シート!B46="","",基本情報入力シート!B46)</f>
        <v/>
      </c>
      <c r="C24" s="647"/>
      <c r="D24" s="647"/>
      <c r="E24" s="647"/>
      <c r="F24" s="648"/>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53" t="str">
        <f>IF(基本情報入力シート!AF46=0, "",基本情報入力シート!AF46)</f>
        <v/>
      </c>
      <c r="M24" s="519" t="str">
        <f>IF('別紙様式2-2（個票（４、５月））'!M24="","",'別紙様式2-2（個票（４、５月））'!M24)</f>
        <v/>
      </c>
      <c r="N24" s="518" t="str">
        <f>IF('別紙様式2-2（個票（４、５月））'!N24="","",'別紙様式2-2（個票（４、５月））'!N24)</f>
        <v/>
      </c>
      <c r="O24" s="289"/>
      <c r="P24" s="549" t="str">
        <f>IFERROR(VLOOKUP(K24,【参考】数式用!$A$2:$M$57,MATCH(O24,【参考】数式用!$G$3:$M$3,0)+6,0),"")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0" t="str">
        <f t="shared" si="12"/>
        <v/>
      </c>
      <c r="AE24" s="310" t="str">
        <f>IFERROR(ROUNDDOWN(ROUNDDOWN(ROUND(L24*VLOOKUP(K24,【参考】数式用!$A$2:$M$57,MATCH("処遇改善加算Ⅳ",【参考】数式用!$G$3:$M$3,0)+6,0),0),0)*AA24*0.5,0), "")</f>
        <v/>
      </c>
      <c r="AF24" s="321"/>
      <c r="AG24" s="322"/>
      <c r="AH24" s="322"/>
      <c r="AI24" s="321"/>
      <c r="AJ24" s="323"/>
      <c r="AK24" s="329"/>
      <c r="AL24" s="327" t="str">
        <f t="shared" si="0"/>
        <v/>
      </c>
      <c r="AM24" s="328" t="str">
        <f t="shared" si="13"/>
        <v/>
      </c>
      <c r="AN24" s="258"/>
      <c r="AO24" s="551" t="str">
        <f>IFERROR(VLOOKUP(K24,【参考】数式用!$A$2:$N$57,14,FALSE),"")</f>
        <v/>
      </c>
      <c r="AP24" s="551" t="str">
        <f t="shared" si="14"/>
        <v/>
      </c>
      <c r="AQ24" s="556" t="str">
        <f t="shared" si="1"/>
        <v/>
      </c>
      <c r="AR24" s="556" t="str">
        <f t="shared" si="26"/>
        <v>キャリアパス要件Ⅰ・Ⅱ_</v>
      </c>
      <c r="AS24" s="534" t="str">
        <f t="shared" si="2"/>
        <v>入力済</v>
      </c>
      <c r="AT24" s="551" t="str">
        <f t="shared" si="15"/>
        <v/>
      </c>
      <c r="AU24" s="534" t="str">
        <f t="shared" si="3"/>
        <v>入力済</v>
      </c>
      <c r="AV24" s="534" t="str">
        <f t="shared" si="4"/>
        <v/>
      </c>
      <c r="AW24" s="534" t="str">
        <f t="shared" si="16"/>
        <v/>
      </c>
      <c r="AX24" s="551" t="str">
        <f t="shared" si="5"/>
        <v/>
      </c>
      <c r="AY24" s="534" t="str">
        <f>IFERROR(VLOOKUP(K24,【参考】数式用!$AR$3:$AS$49, 2, FALSE), "")</f>
        <v/>
      </c>
      <c r="AZ24" s="551" t="str">
        <f t="shared" si="17"/>
        <v/>
      </c>
      <c r="BA24" s="555" t="str">
        <f t="shared" si="6"/>
        <v>入力済</v>
      </c>
      <c r="BB24" s="534" t="str">
        <f>IFERROR(VLOOKUP(K24,【参考】数式用!$AX$3:$AY$59, 2, FALSE), "")</f>
        <v/>
      </c>
      <c r="BC24" s="551" t="str">
        <f t="shared" si="18"/>
        <v/>
      </c>
      <c r="BD24" s="555" t="str">
        <f t="shared" si="7"/>
        <v>入力済</v>
      </c>
      <c r="BE24" s="555" t="str">
        <f t="shared" si="19"/>
        <v/>
      </c>
      <c r="BF24" s="555" t="str">
        <f t="shared" si="20"/>
        <v/>
      </c>
      <c r="BG24" s="555" t="str">
        <f t="shared" si="21"/>
        <v/>
      </c>
      <c r="BH24" s="555" t="str">
        <f t="shared" si="8"/>
        <v/>
      </c>
      <c r="BI24" s="555" t="str">
        <f t="shared" si="9"/>
        <v/>
      </c>
      <c r="BL24" t="str">
        <f t="shared" si="22"/>
        <v/>
      </c>
      <c r="BM24" t="str">
        <f t="shared" si="23"/>
        <v/>
      </c>
      <c r="BN24" t="str">
        <f t="shared" si="24"/>
        <v/>
      </c>
      <c r="BO24" s="562" t="str">
        <f>IF(BN24="対象",ROUNDDOWN(L24*VLOOKUP(K24,【参考】数式用!$A$4:$J$42,10,FALSE)*AA24,0),"")</f>
        <v/>
      </c>
      <c r="BP24" t="str">
        <f t="shared" si="25"/>
        <v/>
      </c>
    </row>
    <row r="25" spans="1:73" s="260" customFormat="1" ht="109.95" customHeight="1" thickBot="1">
      <c r="A25" s="306">
        <v>12</v>
      </c>
      <c r="B25" s="646" t="str">
        <f>IF(基本情報入力シート!B47="","",基本情報入力シート!B47)</f>
        <v/>
      </c>
      <c r="C25" s="647"/>
      <c r="D25" s="647"/>
      <c r="E25" s="647"/>
      <c r="F25" s="648"/>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53" t="str">
        <f>IF(基本情報入力シート!AF47=0, "",基本情報入力シート!AF47)</f>
        <v/>
      </c>
      <c r="M25" s="519" t="str">
        <f>IF('別紙様式2-2（個票（４、５月））'!M25="","",'別紙様式2-2（個票（４、５月））'!M25)</f>
        <v/>
      </c>
      <c r="N25" s="518" t="str">
        <f>IF('別紙様式2-2（個票（４、５月））'!N25="","",'別紙様式2-2（個票（４、５月））'!N25)</f>
        <v/>
      </c>
      <c r="O25" s="289"/>
      <c r="P25" s="549" t="str">
        <f>IFERROR(VLOOKUP(K25,【参考】数式用!$A$2:$M$57,MATCH(O25,【参考】数式用!$G$3:$M$3,0)+6,0),"")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0" t="str">
        <f t="shared" si="12"/>
        <v/>
      </c>
      <c r="AE25" s="310" t="str">
        <f>IFERROR(ROUNDDOWN(ROUNDDOWN(ROUND(L25*VLOOKUP(K25,【参考】数式用!$A$2:$M$57,MATCH("処遇改善加算Ⅳ",【参考】数式用!$G$3:$M$3,0)+6,0),0),0)*AA25*0.5,0), "")</f>
        <v/>
      </c>
      <c r="AF25" s="321"/>
      <c r="AG25" s="322"/>
      <c r="AH25" s="322"/>
      <c r="AI25" s="321"/>
      <c r="AJ25" s="323"/>
      <c r="AK25" s="329"/>
      <c r="AL25" s="327" t="str">
        <f t="shared" si="0"/>
        <v/>
      </c>
      <c r="AM25" s="328" t="str">
        <f t="shared" si="13"/>
        <v/>
      </c>
      <c r="AN25" s="258"/>
      <c r="AO25" s="551" t="str">
        <f>IFERROR(VLOOKUP(K25,【参考】数式用!$A$2:$N$57,14,FALSE),"")</f>
        <v/>
      </c>
      <c r="AP25" s="551" t="str">
        <f t="shared" si="14"/>
        <v/>
      </c>
      <c r="AQ25" s="556" t="str">
        <f t="shared" si="1"/>
        <v/>
      </c>
      <c r="AR25" s="556" t="str">
        <f t="shared" si="26"/>
        <v>キャリアパス要件Ⅰ・Ⅱ_</v>
      </c>
      <c r="AS25" s="534" t="str">
        <f t="shared" si="2"/>
        <v>入力済</v>
      </c>
      <c r="AT25" s="551" t="str">
        <f t="shared" si="15"/>
        <v/>
      </c>
      <c r="AU25" s="534" t="str">
        <f t="shared" si="3"/>
        <v>入力済</v>
      </c>
      <c r="AV25" s="534" t="str">
        <f t="shared" si="4"/>
        <v/>
      </c>
      <c r="AW25" s="534" t="str">
        <f t="shared" si="16"/>
        <v/>
      </c>
      <c r="AX25" s="551" t="str">
        <f t="shared" si="5"/>
        <v/>
      </c>
      <c r="AY25" s="534" t="str">
        <f>IFERROR(VLOOKUP(K25,【参考】数式用!$AR$3:$AS$49, 2, FALSE), "")</f>
        <v/>
      </c>
      <c r="AZ25" s="551" t="str">
        <f t="shared" si="17"/>
        <v/>
      </c>
      <c r="BA25" s="555" t="str">
        <f t="shared" si="6"/>
        <v>入力済</v>
      </c>
      <c r="BB25" s="534" t="str">
        <f>IFERROR(VLOOKUP(K25,【参考】数式用!$AX$3:$AY$59, 2, FALSE), "")</f>
        <v/>
      </c>
      <c r="BC25" s="551" t="str">
        <f t="shared" si="18"/>
        <v/>
      </c>
      <c r="BD25" s="555" t="str">
        <f t="shared" si="7"/>
        <v>入力済</v>
      </c>
      <c r="BE25" s="555" t="str">
        <f t="shared" si="19"/>
        <v/>
      </c>
      <c r="BF25" s="555" t="str">
        <f t="shared" si="20"/>
        <v/>
      </c>
      <c r="BG25" s="555" t="str">
        <f t="shared" si="21"/>
        <v/>
      </c>
      <c r="BH25" s="555" t="str">
        <f t="shared" si="8"/>
        <v/>
      </c>
      <c r="BI25" s="555" t="str">
        <f t="shared" si="9"/>
        <v/>
      </c>
      <c r="BL25" t="str">
        <f t="shared" si="22"/>
        <v/>
      </c>
      <c r="BM25" t="str">
        <f t="shared" si="23"/>
        <v/>
      </c>
      <c r="BN25" t="str">
        <f t="shared" si="24"/>
        <v/>
      </c>
      <c r="BO25" s="562" t="str">
        <f>IF(BN25="対象",ROUNDDOWN(L25*VLOOKUP(K25,【参考】数式用!$A$4:$J$42,10,FALSE)*AA25,0),"")</f>
        <v/>
      </c>
      <c r="BP25" t="str">
        <f t="shared" si="25"/>
        <v/>
      </c>
    </row>
    <row r="26" spans="1:73" s="260" customFormat="1" ht="109.95" customHeight="1" thickBot="1">
      <c r="A26" s="306">
        <v>13</v>
      </c>
      <c r="B26" s="646" t="str">
        <f>IF(基本情報入力シート!B48="","",基本情報入力シート!B48)</f>
        <v/>
      </c>
      <c r="C26" s="647"/>
      <c r="D26" s="647"/>
      <c r="E26" s="647"/>
      <c r="F26" s="648"/>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53" t="str">
        <f>IF(基本情報入力シート!AF48=0, "",基本情報入力シート!AF48)</f>
        <v/>
      </c>
      <c r="M26" s="519" t="str">
        <f>IF('別紙様式2-2（個票（４、５月））'!M26="","",'別紙様式2-2（個票（４、５月））'!M26)</f>
        <v/>
      </c>
      <c r="N26" s="518" t="str">
        <f>IF('別紙様式2-2（個票（４、５月））'!N26="","",'別紙様式2-2（個票（４、５月））'!N26)</f>
        <v/>
      </c>
      <c r="O26" s="289"/>
      <c r="P26" s="549" t="str">
        <f>IFERROR(VLOOKUP(K26,【参考】数式用!$A$2:$M$57,MATCH(O26,【参考】数式用!$G$3:$M$3,0)+6,0),"")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0" t="str">
        <f t="shared" si="12"/>
        <v/>
      </c>
      <c r="AE26" s="310" t="str">
        <f>IFERROR(ROUNDDOWN(ROUNDDOWN(ROUND(L26*VLOOKUP(K26,【参考】数式用!$A$2:$M$57,MATCH("処遇改善加算Ⅳ",【参考】数式用!$G$3:$M$3,0)+6,0),0),0)*AA26*0.5,0), "")</f>
        <v/>
      </c>
      <c r="AF26" s="321"/>
      <c r="AG26" s="322"/>
      <c r="AH26" s="322"/>
      <c r="AI26" s="321"/>
      <c r="AJ26" s="323"/>
      <c r="AK26" s="329"/>
      <c r="AL26" s="327" t="str">
        <f t="shared" si="0"/>
        <v/>
      </c>
      <c r="AM26" s="328" t="str">
        <f t="shared" si="13"/>
        <v/>
      </c>
      <c r="AN26" s="258"/>
      <c r="AO26" s="551" t="str">
        <f>IFERROR(VLOOKUP(K26,【参考】数式用!$A$2:$N$57,14,FALSE),"")</f>
        <v/>
      </c>
      <c r="AP26" s="551" t="str">
        <f t="shared" si="14"/>
        <v/>
      </c>
      <c r="AQ26" s="556" t="str">
        <f t="shared" si="1"/>
        <v/>
      </c>
      <c r="AR26" s="556" t="str">
        <f t="shared" si="26"/>
        <v>キャリアパス要件Ⅰ・Ⅱ_</v>
      </c>
      <c r="AS26" s="534" t="str">
        <f t="shared" si="2"/>
        <v>入力済</v>
      </c>
      <c r="AT26" s="551" t="str">
        <f t="shared" si="15"/>
        <v/>
      </c>
      <c r="AU26" s="534" t="str">
        <f t="shared" si="3"/>
        <v>入力済</v>
      </c>
      <c r="AV26" s="534" t="str">
        <f t="shared" si="4"/>
        <v/>
      </c>
      <c r="AW26" s="534" t="str">
        <f t="shared" si="16"/>
        <v/>
      </c>
      <c r="AX26" s="551" t="str">
        <f t="shared" si="5"/>
        <v/>
      </c>
      <c r="AY26" s="534" t="str">
        <f>IFERROR(VLOOKUP(K26,【参考】数式用!$AR$3:$AS$49, 2, FALSE), "")</f>
        <v/>
      </c>
      <c r="AZ26" s="551" t="str">
        <f t="shared" si="17"/>
        <v/>
      </c>
      <c r="BA26" s="555" t="str">
        <f t="shared" si="6"/>
        <v>入力済</v>
      </c>
      <c r="BB26" s="534" t="str">
        <f>IFERROR(VLOOKUP(K26,【参考】数式用!$AX$3:$AY$59, 2, FALSE), "")</f>
        <v/>
      </c>
      <c r="BC26" s="551" t="str">
        <f t="shared" si="18"/>
        <v/>
      </c>
      <c r="BD26" s="555" t="str">
        <f t="shared" si="7"/>
        <v>入力済</v>
      </c>
      <c r="BE26" s="555" t="str">
        <f t="shared" si="19"/>
        <v/>
      </c>
      <c r="BF26" s="555" t="str">
        <f t="shared" si="20"/>
        <v/>
      </c>
      <c r="BG26" s="555" t="str">
        <f t="shared" si="21"/>
        <v/>
      </c>
      <c r="BH26" s="555" t="str">
        <f t="shared" si="8"/>
        <v/>
      </c>
      <c r="BI26" s="555" t="str">
        <f t="shared" si="9"/>
        <v/>
      </c>
      <c r="BL26" t="str">
        <f t="shared" si="22"/>
        <v/>
      </c>
      <c r="BM26" t="str">
        <f t="shared" si="23"/>
        <v/>
      </c>
      <c r="BN26" t="str">
        <f t="shared" si="24"/>
        <v/>
      </c>
      <c r="BO26" s="562" t="str">
        <f>IF(BN26="対象",ROUNDDOWN(L26*VLOOKUP(K26,【参考】数式用!$A$4:$J$42,10,FALSE)*AA26,0),"")</f>
        <v/>
      </c>
      <c r="BP26" t="str">
        <f t="shared" si="25"/>
        <v/>
      </c>
    </row>
    <row r="27" spans="1:73" s="260" customFormat="1" ht="109.95" customHeight="1" thickBot="1">
      <c r="A27" s="306">
        <v>14</v>
      </c>
      <c r="B27" s="646" t="str">
        <f>IF(基本情報入力シート!B49="","",基本情報入力シート!B49)</f>
        <v/>
      </c>
      <c r="C27" s="647"/>
      <c r="D27" s="647"/>
      <c r="E27" s="647"/>
      <c r="F27" s="648"/>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53" t="str">
        <f>IF(基本情報入力シート!AF49=0, "",基本情報入力シート!AF49)</f>
        <v/>
      </c>
      <c r="M27" s="519" t="str">
        <f>IF('別紙様式2-2（個票（４、５月））'!M27="","",'別紙様式2-2（個票（４、５月））'!M27)</f>
        <v/>
      </c>
      <c r="N27" s="518" t="str">
        <f>IF('別紙様式2-2（個票（４、５月））'!N27="","",'別紙様式2-2（個票（４、５月））'!N27)</f>
        <v/>
      </c>
      <c r="O27" s="289"/>
      <c r="P27" s="549" t="str">
        <f>IFERROR(VLOOKUP(K27,【参考】数式用!$A$2:$M$57,MATCH(O27,【参考】数式用!$G$3:$M$3,0)+6,0),"")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0" t="str">
        <f t="shared" si="12"/>
        <v/>
      </c>
      <c r="AE27" s="310" t="str">
        <f>IFERROR(ROUNDDOWN(ROUNDDOWN(ROUND(L27*VLOOKUP(K27,【参考】数式用!$A$2:$M$57,MATCH("処遇改善加算Ⅳ",【参考】数式用!$G$3:$M$3,0)+6,0),0),0)*AA27*0.5,0), "")</f>
        <v/>
      </c>
      <c r="AF27" s="321"/>
      <c r="AG27" s="322"/>
      <c r="AH27" s="322"/>
      <c r="AI27" s="321"/>
      <c r="AJ27" s="323"/>
      <c r="AK27" s="329"/>
      <c r="AL27" s="327" t="str">
        <f t="shared" si="0"/>
        <v/>
      </c>
      <c r="AM27" s="328" t="str">
        <f t="shared" si="13"/>
        <v/>
      </c>
      <c r="AN27" s="258"/>
      <c r="AO27" s="551" t="str">
        <f>IFERROR(VLOOKUP(K27,【参考】数式用!$A$2:$N$57,14,FALSE),"")</f>
        <v/>
      </c>
      <c r="AP27" s="551" t="str">
        <f t="shared" si="14"/>
        <v/>
      </c>
      <c r="AQ27" s="556" t="str">
        <f t="shared" si="1"/>
        <v/>
      </c>
      <c r="AR27" s="556" t="str">
        <f t="shared" si="26"/>
        <v>キャリアパス要件Ⅰ・Ⅱ_</v>
      </c>
      <c r="AS27" s="534" t="str">
        <f t="shared" si="2"/>
        <v>入力済</v>
      </c>
      <c r="AT27" s="551" t="str">
        <f t="shared" si="15"/>
        <v/>
      </c>
      <c r="AU27" s="534" t="str">
        <f t="shared" si="3"/>
        <v>入力済</v>
      </c>
      <c r="AV27" s="534" t="str">
        <f t="shared" si="4"/>
        <v/>
      </c>
      <c r="AW27" s="534" t="str">
        <f t="shared" si="16"/>
        <v/>
      </c>
      <c r="AX27" s="551" t="str">
        <f t="shared" si="5"/>
        <v/>
      </c>
      <c r="AY27" s="534" t="str">
        <f>IFERROR(VLOOKUP(K27,【参考】数式用!$AR$3:$AS$49, 2, FALSE), "")</f>
        <v/>
      </c>
      <c r="AZ27" s="551" t="str">
        <f t="shared" si="17"/>
        <v/>
      </c>
      <c r="BA27" s="555" t="str">
        <f t="shared" si="6"/>
        <v>入力済</v>
      </c>
      <c r="BB27" s="534" t="str">
        <f>IFERROR(VLOOKUP(K27,【参考】数式用!$AX$3:$AY$59, 2, FALSE), "")</f>
        <v/>
      </c>
      <c r="BC27" s="551" t="str">
        <f t="shared" si="18"/>
        <v/>
      </c>
      <c r="BD27" s="555" t="str">
        <f t="shared" si="7"/>
        <v>入力済</v>
      </c>
      <c r="BE27" s="555" t="str">
        <f t="shared" si="19"/>
        <v/>
      </c>
      <c r="BF27" s="555" t="str">
        <f t="shared" si="20"/>
        <v/>
      </c>
      <c r="BG27" s="555" t="str">
        <f t="shared" si="21"/>
        <v/>
      </c>
      <c r="BH27" s="555" t="str">
        <f t="shared" si="8"/>
        <v/>
      </c>
      <c r="BI27" s="555" t="str">
        <f t="shared" si="9"/>
        <v/>
      </c>
      <c r="BL27" t="str">
        <f t="shared" si="22"/>
        <v/>
      </c>
      <c r="BM27" t="str">
        <f t="shared" si="23"/>
        <v/>
      </c>
      <c r="BN27" t="str">
        <f t="shared" si="24"/>
        <v/>
      </c>
      <c r="BO27" s="562" t="str">
        <f>IF(BN27="対象",ROUNDDOWN(L27*VLOOKUP(K27,【参考】数式用!$A$4:$J$42,10,FALSE)*AA27,0),"")</f>
        <v/>
      </c>
      <c r="BP27" t="str">
        <f t="shared" si="25"/>
        <v/>
      </c>
    </row>
    <row r="28" spans="1:73" s="260" customFormat="1" ht="109.95" customHeight="1" thickBot="1">
      <c r="A28" s="306">
        <v>15</v>
      </c>
      <c r="B28" s="646" t="str">
        <f>IF(基本情報入力シート!B50="","",基本情報入力シート!B50)</f>
        <v/>
      </c>
      <c r="C28" s="647"/>
      <c r="D28" s="647"/>
      <c r="E28" s="647"/>
      <c r="F28" s="648"/>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53" t="str">
        <f>IF(基本情報入力シート!AF50=0, "",基本情報入力シート!AF50)</f>
        <v/>
      </c>
      <c r="M28" s="519" t="str">
        <f>IF('別紙様式2-2（個票（４、５月））'!M28="","",'別紙様式2-2（個票（４、５月））'!M28)</f>
        <v/>
      </c>
      <c r="N28" s="518" t="str">
        <f>IF('別紙様式2-2（個票（４、５月））'!N28="","",'別紙様式2-2（個票（４、５月））'!N28)</f>
        <v/>
      </c>
      <c r="O28" s="289"/>
      <c r="P28" s="549" t="str">
        <f>IFERROR(VLOOKUP(K28,【参考】数式用!$A$2:$M$57,MATCH(O28,【参考】数式用!$G$3:$M$3,0)+6,0),"")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0" t="str">
        <f t="shared" si="12"/>
        <v/>
      </c>
      <c r="AE28" s="310" t="str">
        <f>IFERROR(ROUNDDOWN(ROUNDDOWN(ROUND(L28*VLOOKUP(K28,【参考】数式用!$A$2:$M$57,MATCH("処遇改善加算Ⅳ",【参考】数式用!$G$3:$M$3,0)+6,0),0),0)*AA28*0.5,0), "")</f>
        <v/>
      </c>
      <c r="AF28" s="321"/>
      <c r="AG28" s="322"/>
      <c r="AH28" s="322"/>
      <c r="AI28" s="321"/>
      <c r="AJ28" s="323"/>
      <c r="AK28" s="329"/>
      <c r="AL28" s="327" t="str">
        <f t="shared" si="0"/>
        <v/>
      </c>
      <c r="AM28" s="328" t="str">
        <f t="shared" si="13"/>
        <v/>
      </c>
      <c r="AN28" s="258"/>
      <c r="AO28" s="551" t="str">
        <f>IFERROR(VLOOKUP(K28,【参考】数式用!$A$2:$N$57,14,FALSE),"")</f>
        <v/>
      </c>
      <c r="AP28" s="551" t="str">
        <f t="shared" si="14"/>
        <v/>
      </c>
      <c r="AQ28" s="556" t="str">
        <f t="shared" si="1"/>
        <v/>
      </c>
      <c r="AR28" s="556" t="str">
        <f t="shared" si="26"/>
        <v>キャリアパス要件Ⅰ・Ⅱ_</v>
      </c>
      <c r="AS28" s="534" t="str">
        <f t="shared" si="2"/>
        <v>入力済</v>
      </c>
      <c r="AT28" s="551" t="str">
        <f t="shared" si="15"/>
        <v/>
      </c>
      <c r="AU28" s="534" t="str">
        <f t="shared" si="3"/>
        <v>入力済</v>
      </c>
      <c r="AV28" s="534" t="str">
        <f t="shared" si="4"/>
        <v/>
      </c>
      <c r="AW28" s="534" t="str">
        <f t="shared" si="16"/>
        <v/>
      </c>
      <c r="AX28" s="551" t="str">
        <f t="shared" si="5"/>
        <v/>
      </c>
      <c r="AY28" s="534" t="str">
        <f>IFERROR(VLOOKUP(K28,【参考】数式用!$AR$3:$AS$49, 2, FALSE), "")</f>
        <v/>
      </c>
      <c r="AZ28" s="551" t="str">
        <f t="shared" si="17"/>
        <v/>
      </c>
      <c r="BA28" s="555" t="str">
        <f t="shared" si="6"/>
        <v>入力済</v>
      </c>
      <c r="BB28" s="534" t="str">
        <f>IFERROR(VLOOKUP(K28,【参考】数式用!$AX$3:$AY$59, 2, FALSE), "")</f>
        <v/>
      </c>
      <c r="BC28" s="551" t="str">
        <f t="shared" si="18"/>
        <v/>
      </c>
      <c r="BD28" s="555" t="str">
        <f t="shared" si="7"/>
        <v>入力済</v>
      </c>
      <c r="BE28" s="555" t="str">
        <f t="shared" si="19"/>
        <v/>
      </c>
      <c r="BF28" s="555" t="str">
        <f t="shared" si="20"/>
        <v/>
      </c>
      <c r="BG28" s="555" t="str">
        <f t="shared" si="21"/>
        <v/>
      </c>
      <c r="BH28" s="555" t="str">
        <f t="shared" si="8"/>
        <v/>
      </c>
      <c r="BI28" s="555" t="str">
        <f t="shared" si="9"/>
        <v/>
      </c>
      <c r="BL28" t="str">
        <f t="shared" si="22"/>
        <v/>
      </c>
      <c r="BM28" t="str">
        <f t="shared" si="23"/>
        <v/>
      </c>
      <c r="BN28" t="str">
        <f t="shared" si="24"/>
        <v/>
      </c>
      <c r="BO28" s="562" t="str">
        <f>IF(BN28="対象",ROUNDDOWN(L28*VLOOKUP(K28,【参考】数式用!$A$4:$J$42,10,FALSE)*AA28,0),"")</f>
        <v/>
      </c>
      <c r="BP28" t="str">
        <f t="shared" si="25"/>
        <v/>
      </c>
    </row>
    <row r="29" spans="1:73" s="260" customFormat="1" ht="109.95" customHeight="1" thickBot="1">
      <c r="A29" s="306">
        <v>16</v>
      </c>
      <c r="B29" s="646" t="str">
        <f>IF(基本情報入力シート!B51="","",基本情報入力シート!B51)</f>
        <v/>
      </c>
      <c r="C29" s="647"/>
      <c r="D29" s="647"/>
      <c r="E29" s="647"/>
      <c r="F29" s="648"/>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53" t="str">
        <f>IF(基本情報入力シート!AF51=0, "",基本情報入力シート!AF51)</f>
        <v/>
      </c>
      <c r="M29" s="519" t="str">
        <f>IF('別紙様式2-2（個票（４、５月））'!M29="","",'別紙様式2-2（個票（４、５月））'!M29)</f>
        <v/>
      </c>
      <c r="N29" s="518" t="str">
        <f>IF('別紙様式2-2（個票（４、５月））'!N29="","",'別紙様式2-2（個票（４、５月））'!N29)</f>
        <v/>
      </c>
      <c r="O29" s="289"/>
      <c r="P29" s="549" t="str">
        <f>IFERROR(VLOOKUP(K29,【参考】数式用!$A$2:$M$57,MATCH(O29,【参考】数式用!$G$3:$M$3,0)+6,0),"")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0" t="str">
        <f t="shared" si="12"/>
        <v/>
      </c>
      <c r="AE29" s="310" t="str">
        <f>IFERROR(ROUNDDOWN(ROUNDDOWN(ROUND(L29*VLOOKUP(K29,【参考】数式用!$A$2:$M$57,MATCH("処遇改善加算Ⅳ",【参考】数式用!$G$3:$M$3,0)+6,0),0),0)*AA29*0.5,0), "")</f>
        <v/>
      </c>
      <c r="AF29" s="321"/>
      <c r="AG29" s="322"/>
      <c r="AH29" s="322"/>
      <c r="AI29" s="321"/>
      <c r="AJ29" s="323"/>
      <c r="AK29" s="329"/>
      <c r="AL29" s="327" t="str">
        <f t="shared" si="0"/>
        <v/>
      </c>
      <c r="AM29" s="328" t="str">
        <f t="shared" si="13"/>
        <v/>
      </c>
      <c r="AN29" s="258"/>
      <c r="AO29" s="551" t="str">
        <f>IFERROR(VLOOKUP(K29,【参考】数式用!$A$2:$N$57,14,FALSE),"")</f>
        <v/>
      </c>
      <c r="AP29" s="551" t="str">
        <f t="shared" si="14"/>
        <v/>
      </c>
      <c r="AQ29" s="556" t="str">
        <f t="shared" si="1"/>
        <v/>
      </c>
      <c r="AR29" s="556" t="str">
        <f t="shared" si="26"/>
        <v>キャリアパス要件Ⅰ・Ⅱ_</v>
      </c>
      <c r="AS29" s="534" t="str">
        <f t="shared" si="2"/>
        <v>入力済</v>
      </c>
      <c r="AT29" s="551" t="str">
        <f t="shared" si="15"/>
        <v/>
      </c>
      <c r="AU29" s="534" t="str">
        <f t="shared" si="3"/>
        <v>入力済</v>
      </c>
      <c r="AV29" s="534" t="str">
        <f t="shared" si="4"/>
        <v/>
      </c>
      <c r="AW29" s="534" t="str">
        <f t="shared" si="16"/>
        <v/>
      </c>
      <c r="AX29" s="551" t="str">
        <f t="shared" si="5"/>
        <v/>
      </c>
      <c r="AY29" s="534" t="str">
        <f>IFERROR(VLOOKUP(K29,【参考】数式用!$AR$3:$AS$49, 2, FALSE), "")</f>
        <v/>
      </c>
      <c r="AZ29" s="551" t="str">
        <f t="shared" si="17"/>
        <v/>
      </c>
      <c r="BA29" s="555" t="str">
        <f t="shared" si="6"/>
        <v>入力済</v>
      </c>
      <c r="BB29" s="534" t="str">
        <f>IFERROR(VLOOKUP(K29,【参考】数式用!$AX$3:$AY$59, 2, FALSE), "")</f>
        <v/>
      </c>
      <c r="BC29" s="551" t="str">
        <f t="shared" si="18"/>
        <v/>
      </c>
      <c r="BD29" s="555" t="str">
        <f t="shared" si="7"/>
        <v>入力済</v>
      </c>
      <c r="BE29" s="555" t="str">
        <f t="shared" si="19"/>
        <v/>
      </c>
      <c r="BF29" s="555" t="str">
        <f t="shared" si="20"/>
        <v/>
      </c>
      <c r="BG29" s="555" t="str">
        <f t="shared" si="21"/>
        <v/>
      </c>
      <c r="BH29" s="555" t="str">
        <f t="shared" si="8"/>
        <v/>
      </c>
      <c r="BI29" s="555" t="str">
        <f t="shared" si="9"/>
        <v/>
      </c>
      <c r="BL29" t="str">
        <f t="shared" si="22"/>
        <v/>
      </c>
      <c r="BM29" t="str">
        <f t="shared" si="23"/>
        <v/>
      </c>
      <c r="BN29" t="str">
        <f t="shared" si="24"/>
        <v/>
      </c>
      <c r="BO29" s="562" t="str">
        <f>IF(BN29="対象",ROUNDDOWN(L29*VLOOKUP(K29,【参考】数式用!$A$4:$J$42,10,FALSE)*AA29,0),"")</f>
        <v/>
      </c>
      <c r="BP29" t="str">
        <f t="shared" si="25"/>
        <v/>
      </c>
    </row>
    <row r="30" spans="1:73" s="260" customFormat="1" ht="109.95" customHeight="1" thickBot="1">
      <c r="A30" s="306">
        <v>17</v>
      </c>
      <c r="B30" s="646" t="str">
        <f>IF(基本情報入力シート!B52="","",基本情報入力シート!B52)</f>
        <v/>
      </c>
      <c r="C30" s="647"/>
      <c r="D30" s="647"/>
      <c r="E30" s="647"/>
      <c r="F30" s="648"/>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53" t="str">
        <f>IF(基本情報入力シート!AF52=0, "",基本情報入力シート!AF52)</f>
        <v/>
      </c>
      <c r="M30" s="519" t="str">
        <f>IF('別紙様式2-2（個票（４、５月））'!M30="","",'別紙様式2-2（個票（４、５月））'!M30)</f>
        <v/>
      </c>
      <c r="N30" s="518" t="str">
        <f>IF('別紙様式2-2（個票（４、５月））'!N30="","",'別紙様式2-2（個票（４、５月））'!N30)</f>
        <v/>
      </c>
      <c r="O30" s="289"/>
      <c r="P30" s="549" t="str">
        <f>IFERROR(VLOOKUP(K30,【参考】数式用!$A$2:$M$57,MATCH(O30,【参考】数式用!$G$3:$M$3,0)+6,0),"")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0" t="str">
        <f t="shared" si="12"/>
        <v/>
      </c>
      <c r="AE30" s="310" t="str">
        <f>IFERROR(ROUNDDOWN(ROUNDDOWN(ROUND(L30*VLOOKUP(K30,【参考】数式用!$A$2:$M$57,MATCH("処遇改善加算Ⅳ",【参考】数式用!$G$3:$M$3,0)+6,0),0),0)*AA30*0.5,0), "")</f>
        <v/>
      </c>
      <c r="AF30" s="321"/>
      <c r="AG30" s="322"/>
      <c r="AH30" s="322"/>
      <c r="AI30" s="321"/>
      <c r="AJ30" s="323"/>
      <c r="AK30" s="329"/>
      <c r="AL30" s="327" t="str">
        <f t="shared" si="0"/>
        <v/>
      </c>
      <c r="AM30" s="328" t="str">
        <f t="shared" si="13"/>
        <v/>
      </c>
      <c r="AN30" s="258"/>
      <c r="AO30" s="551" t="str">
        <f>IFERROR(VLOOKUP(K30,【参考】数式用!$A$2:$N$57,14,FALSE),"")</f>
        <v/>
      </c>
      <c r="AP30" s="551" t="str">
        <f t="shared" si="14"/>
        <v/>
      </c>
      <c r="AQ30" s="556" t="str">
        <f t="shared" si="1"/>
        <v/>
      </c>
      <c r="AR30" s="556" t="str">
        <f t="shared" si="26"/>
        <v>キャリアパス要件Ⅰ・Ⅱ_</v>
      </c>
      <c r="AS30" s="534" t="str">
        <f t="shared" si="2"/>
        <v>入力済</v>
      </c>
      <c r="AT30" s="551" t="str">
        <f t="shared" si="15"/>
        <v/>
      </c>
      <c r="AU30" s="534" t="str">
        <f t="shared" si="3"/>
        <v>入力済</v>
      </c>
      <c r="AV30" s="534" t="str">
        <f t="shared" si="4"/>
        <v/>
      </c>
      <c r="AW30" s="534" t="str">
        <f t="shared" si="16"/>
        <v/>
      </c>
      <c r="AX30" s="551" t="str">
        <f t="shared" si="5"/>
        <v/>
      </c>
      <c r="AY30" s="534" t="str">
        <f>IFERROR(VLOOKUP(K30,【参考】数式用!$AR$3:$AS$49, 2, FALSE), "")</f>
        <v/>
      </c>
      <c r="AZ30" s="551" t="str">
        <f t="shared" si="17"/>
        <v/>
      </c>
      <c r="BA30" s="555" t="str">
        <f t="shared" si="6"/>
        <v>入力済</v>
      </c>
      <c r="BB30" s="534" t="str">
        <f>IFERROR(VLOOKUP(K30,【参考】数式用!$AX$3:$AY$59, 2, FALSE), "")</f>
        <v/>
      </c>
      <c r="BC30" s="551" t="str">
        <f t="shared" si="18"/>
        <v/>
      </c>
      <c r="BD30" s="555" t="str">
        <f t="shared" si="7"/>
        <v>入力済</v>
      </c>
      <c r="BE30" s="555" t="str">
        <f t="shared" si="19"/>
        <v/>
      </c>
      <c r="BF30" s="555" t="str">
        <f t="shared" si="20"/>
        <v/>
      </c>
      <c r="BG30" s="555" t="str">
        <f t="shared" si="21"/>
        <v/>
      </c>
      <c r="BH30" s="555" t="str">
        <f t="shared" si="8"/>
        <v/>
      </c>
      <c r="BI30" s="555" t="str">
        <f t="shared" si="9"/>
        <v/>
      </c>
      <c r="BL30" t="str">
        <f t="shared" si="22"/>
        <v/>
      </c>
      <c r="BM30" t="str">
        <f t="shared" si="23"/>
        <v/>
      </c>
      <c r="BN30" t="str">
        <f t="shared" si="24"/>
        <v/>
      </c>
      <c r="BO30" s="562" t="str">
        <f>IF(BN30="対象",ROUNDDOWN(L30*VLOOKUP(K30,【参考】数式用!$A$4:$J$42,10,FALSE)*AA30,0),"")</f>
        <v/>
      </c>
      <c r="BP30" t="str">
        <f t="shared" si="25"/>
        <v/>
      </c>
    </row>
    <row r="31" spans="1:73" s="260" customFormat="1" ht="109.95" customHeight="1" thickBot="1">
      <c r="A31" s="306">
        <v>18</v>
      </c>
      <c r="B31" s="646" t="str">
        <f>IF(基本情報入力シート!B53="","",基本情報入力シート!B53)</f>
        <v/>
      </c>
      <c r="C31" s="647"/>
      <c r="D31" s="647"/>
      <c r="E31" s="647"/>
      <c r="F31" s="648"/>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53" t="str">
        <f>IF(基本情報入力シート!AF53=0, "",基本情報入力シート!AF53)</f>
        <v/>
      </c>
      <c r="M31" s="519" t="str">
        <f>IF('別紙様式2-2（個票（４、５月））'!M31="","",'別紙様式2-2（個票（４、５月））'!M31)</f>
        <v/>
      </c>
      <c r="N31" s="518" t="str">
        <f>IF('別紙様式2-2（個票（４、５月））'!N31="","",'別紙様式2-2（個票（４、５月））'!N31)</f>
        <v/>
      </c>
      <c r="O31" s="289"/>
      <c r="P31" s="549" t="str">
        <f>IFERROR(VLOOKUP(K31,【参考】数式用!$A$2:$M$57,MATCH(O31,【参考】数式用!$G$3:$M$3,0)+6,0),"")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0" t="str">
        <f t="shared" si="12"/>
        <v/>
      </c>
      <c r="AE31" s="310" t="str">
        <f>IFERROR(ROUNDDOWN(ROUNDDOWN(ROUND(L31*VLOOKUP(K31,【参考】数式用!$A$2:$M$57,MATCH("処遇改善加算Ⅳ",【参考】数式用!$G$3:$M$3,0)+6,0),0),0)*AA31*0.5,0), "")</f>
        <v/>
      </c>
      <c r="AF31" s="321"/>
      <c r="AG31" s="322"/>
      <c r="AH31" s="322"/>
      <c r="AI31" s="321"/>
      <c r="AJ31" s="323"/>
      <c r="AK31" s="329"/>
      <c r="AL31" s="327" t="str">
        <f t="shared" si="0"/>
        <v/>
      </c>
      <c r="AM31" s="328" t="str">
        <f t="shared" si="13"/>
        <v/>
      </c>
      <c r="AN31" s="258"/>
      <c r="AO31" s="551" t="str">
        <f>IFERROR(VLOOKUP(K31,【参考】数式用!$A$2:$N$57,14,FALSE),"")</f>
        <v/>
      </c>
      <c r="AP31" s="551" t="str">
        <f t="shared" si="14"/>
        <v/>
      </c>
      <c r="AQ31" s="556" t="str">
        <f t="shared" si="1"/>
        <v/>
      </c>
      <c r="AR31" s="556" t="str">
        <f t="shared" si="26"/>
        <v>キャリアパス要件Ⅰ・Ⅱ_</v>
      </c>
      <c r="AS31" s="534" t="str">
        <f t="shared" si="2"/>
        <v>入力済</v>
      </c>
      <c r="AT31" s="551" t="str">
        <f t="shared" si="15"/>
        <v/>
      </c>
      <c r="AU31" s="534" t="str">
        <f t="shared" si="3"/>
        <v>入力済</v>
      </c>
      <c r="AV31" s="534" t="str">
        <f t="shared" si="4"/>
        <v/>
      </c>
      <c r="AW31" s="534" t="str">
        <f t="shared" si="16"/>
        <v/>
      </c>
      <c r="AX31" s="551" t="str">
        <f t="shared" si="5"/>
        <v/>
      </c>
      <c r="AY31" s="534" t="str">
        <f>IFERROR(VLOOKUP(K31,【参考】数式用!$AR$3:$AS$49, 2, FALSE), "")</f>
        <v/>
      </c>
      <c r="AZ31" s="551" t="str">
        <f t="shared" si="17"/>
        <v/>
      </c>
      <c r="BA31" s="555" t="str">
        <f t="shared" si="6"/>
        <v>入力済</v>
      </c>
      <c r="BB31" s="534" t="str">
        <f>IFERROR(VLOOKUP(K31,【参考】数式用!$AX$3:$AY$59, 2, FALSE), "")</f>
        <v/>
      </c>
      <c r="BC31" s="551" t="str">
        <f t="shared" si="18"/>
        <v/>
      </c>
      <c r="BD31" s="555" t="str">
        <f t="shared" si="7"/>
        <v>入力済</v>
      </c>
      <c r="BE31" s="555" t="str">
        <f t="shared" si="19"/>
        <v/>
      </c>
      <c r="BF31" s="555" t="str">
        <f t="shared" si="20"/>
        <v/>
      </c>
      <c r="BG31" s="555" t="str">
        <f t="shared" si="21"/>
        <v/>
      </c>
      <c r="BH31" s="555" t="str">
        <f t="shared" si="8"/>
        <v/>
      </c>
      <c r="BI31" s="555" t="str">
        <f t="shared" si="9"/>
        <v/>
      </c>
      <c r="BL31" t="str">
        <f t="shared" si="22"/>
        <v/>
      </c>
      <c r="BM31" t="str">
        <f t="shared" si="23"/>
        <v/>
      </c>
      <c r="BN31" t="str">
        <f t="shared" si="24"/>
        <v/>
      </c>
      <c r="BO31" s="562" t="str">
        <f>IF(BN31="対象",ROUNDDOWN(L31*VLOOKUP(K31,【参考】数式用!$A$4:$J$42,10,FALSE)*AA31,0),"")</f>
        <v/>
      </c>
      <c r="BP31" t="str">
        <f t="shared" si="25"/>
        <v/>
      </c>
    </row>
    <row r="32" spans="1:73" s="260" customFormat="1" ht="109.95" customHeight="1" thickBot="1">
      <c r="A32" s="306">
        <v>19</v>
      </c>
      <c r="B32" s="646" t="str">
        <f>IF(基本情報入力シート!B54="","",基本情報入力シート!B54)</f>
        <v/>
      </c>
      <c r="C32" s="647"/>
      <c r="D32" s="647"/>
      <c r="E32" s="647"/>
      <c r="F32" s="648"/>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53" t="str">
        <f>IF(基本情報入力シート!AF54=0, "",基本情報入力シート!AF54)</f>
        <v/>
      </c>
      <c r="M32" s="519" t="str">
        <f>IF('別紙様式2-2（個票（４、５月））'!M32="","",'別紙様式2-2（個票（４、５月））'!M32)</f>
        <v/>
      </c>
      <c r="N32" s="518" t="str">
        <f>IF('別紙様式2-2（個票（４、５月））'!N32="","",'別紙様式2-2（個票（４、５月））'!N32)</f>
        <v/>
      </c>
      <c r="O32" s="289"/>
      <c r="P32" s="549" t="str">
        <f>IFERROR(VLOOKUP(K32,【参考】数式用!$A$2:$M$57,MATCH(O32,【参考】数式用!$G$3:$M$3,0)+6,0),"")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0" t="str">
        <f t="shared" si="12"/>
        <v/>
      </c>
      <c r="AE32" s="310" t="str">
        <f>IFERROR(ROUNDDOWN(ROUNDDOWN(ROUND(L32*VLOOKUP(K32,【参考】数式用!$A$2:$M$57,MATCH("処遇改善加算Ⅳ",【参考】数式用!$G$3:$M$3,0)+6,0),0),0)*AA32*0.5,0), "")</f>
        <v/>
      </c>
      <c r="AF32" s="321"/>
      <c r="AG32" s="322"/>
      <c r="AH32" s="322"/>
      <c r="AI32" s="321"/>
      <c r="AJ32" s="323"/>
      <c r="AK32" s="329"/>
      <c r="AL32" s="327" t="str">
        <f t="shared" si="0"/>
        <v/>
      </c>
      <c r="AM32" s="328" t="str">
        <f t="shared" si="13"/>
        <v/>
      </c>
      <c r="AN32" s="258"/>
      <c r="AO32" s="551" t="str">
        <f>IFERROR(VLOOKUP(K32,【参考】数式用!$A$2:$N$57,14,FALSE),"")</f>
        <v/>
      </c>
      <c r="AP32" s="551" t="str">
        <f t="shared" si="14"/>
        <v/>
      </c>
      <c r="AQ32" s="556" t="str">
        <f t="shared" si="1"/>
        <v/>
      </c>
      <c r="AR32" s="556" t="str">
        <f t="shared" si="26"/>
        <v>キャリアパス要件Ⅰ・Ⅱ_</v>
      </c>
      <c r="AS32" s="534" t="str">
        <f t="shared" si="2"/>
        <v>入力済</v>
      </c>
      <c r="AT32" s="551" t="str">
        <f t="shared" si="15"/>
        <v/>
      </c>
      <c r="AU32" s="534" t="str">
        <f t="shared" si="3"/>
        <v>入力済</v>
      </c>
      <c r="AV32" s="534" t="str">
        <f t="shared" si="4"/>
        <v/>
      </c>
      <c r="AW32" s="534" t="str">
        <f t="shared" si="16"/>
        <v/>
      </c>
      <c r="AX32" s="551" t="str">
        <f t="shared" si="5"/>
        <v/>
      </c>
      <c r="AY32" s="534" t="str">
        <f>IFERROR(VLOOKUP(K32,【参考】数式用!$AR$3:$AS$49, 2, FALSE), "")</f>
        <v/>
      </c>
      <c r="AZ32" s="551" t="str">
        <f t="shared" si="17"/>
        <v/>
      </c>
      <c r="BA32" s="555" t="str">
        <f t="shared" si="6"/>
        <v>入力済</v>
      </c>
      <c r="BB32" s="534" t="str">
        <f>IFERROR(VLOOKUP(K32,【参考】数式用!$AX$3:$AY$59, 2, FALSE), "")</f>
        <v/>
      </c>
      <c r="BC32" s="551" t="str">
        <f t="shared" si="18"/>
        <v/>
      </c>
      <c r="BD32" s="555" t="str">
        <f t="shared" si="7"/>
        <v>入力済</v>
      </c>
      <c r="BE32" s="555" t="str">
        <f t="shared" si="19"/>
        <v/>
      </c>
      <c r="BF32" s="555" t="str">
        <f t="shared" si="20"/>
        <v/>
      </c>
      <c r="BG32" s="555" t="str">
        <f t="shared" si="21"/>
        <v/>
      </c>
      <c r="BH32" s="555" t="str">
        <f t="shared" si="8"/>
        <v/>
      </c>
      <c r="BI32" s="555" t="str">
        <f t="shared" si="9"/>
        <v/>
      </c>
      <c r="BL32" t="str">
        <f t="shared" si="22"/>
        <v/>
      </c>
      <c r="BM32" t="str">
        <f t="shared" si="23"/>
        <v/>
      </c>
      <c r="BN32" t="str">
        <f t="shared" si="24"/>
        <v/>
      </c>
      <c r="BO32" s="562" t="str">
        <f>IF(BN32="対象",ROUNDDOWN(L32*VLOOKUP(K32,【参考】数式用!$A$4:$J$42,10,FALSE)*AA32,0),"")</f>
        <v/>
      </c>
      <c r="BP32" t="str">
        <f t="shared" si="25"/>
        <v/>
      </c>
    </row>
    <row r="33" spans="1:68" s="260" customFormat="1" ht="109.95" customHeight="1" thickBot="1">
      <c r="A33" s="306">
        <v>20</v>
      </c>
      <c r="B33" s="646" t="str">
        <f>IF(基本情報入力シート!B55="","",基本情報入力シート!B55)</f>
        <v/>
      </c>
      <c r="C33" s="647"/>
      <c r="D33" s="647"/>
      <c r="E33" s="647"/>
      <c r="F33" s="648"/>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53" t="str">
        <f>IF(基本情報入力シート!AF55=0, "",基本情報入力シート!AF55)</f>
        <v/>
      </c>
      <c r="M33" s="519" t="str">
        <f>IF('別紙様式2-2（個票（４、５月））'!M33="","",'別紙様式2-2（個票（４、５月））'!M33)</f>
        <v/>
      </c>
      <c r="N33" s="518" t="str">
        <f>IF('別紙様式2-2（個票（４、５月））'!N33="","",'別紙様式2-2（個票（４、５月））'!N33)</f>
        <v/>
      </c>
      <c r="O33" s="289"/>
      <c r="P33" s="549" t="str">
        <f>IFERROR(VLOOKUP(K33,【参考】数式用!$A$2:$M$57,MATCH(O33,【参考】数式用!$G$3:$M$3,0)+6,0),"")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0" t="str">
        <f t="shared" si="12"/>
        <v/>
      </c>
      <c r="AE33" s="310" t="str">
        <f>IFERROR(ROUNDDOWN(ROUNDDOWN(ROUND(L33*VLOOKUP(K33,【参考】数式用!$A$2:$M$57,MATCH("処遇改善加算Ⅳ",【参考】数式用!$G$3:$M$3,0)+6,0),0),0)*AA33*0.5,0), "")</f>
        <v/>
      </c>
      <c r="AF33" s="321"/>
      <c r="AG33" s="322"/>
      <c r="AH33" s="322"/>
      <c r="AI33" s="321"/>
      <c r="AJ33" s="323"/>
      <c r="AK33" s="329"/>
      <c r="AL33" s="327" t="str">
        <f t="shared" si="0"/>
        <v/>
      </c>
      <c r="AM33" s="328" t="str">
        <f t="shared" si="13"/>
        <v/>
      </c>
      <c r="AN33" s="258"/>
      <c r="AO33" s="551" t="str">
        <f>IFERROR(VLOOKUP(K33,【参考】数式用!$A$2:$N$57,14,FALSE),"")</f>
        <v/>
      </c>
      <c r="AP33" s="551" t="str">
        <f t="shared" si="14"/>
        <v/>
      </c>
      <c r="AQ33" s="556" t="str">
        <f t="shared" si="1"/>
        <v/>
      </c>
      <c r="AR33" s="556" t="str">
        <f t="shared" si="26"/>
        <v>キャリアパス要件Ⅰ・Ⅱ_</v>
      </c>
      <c r="AS33" s="534" t="str">
        <f t="shared" si="2"/>
        <v>入力済</v>
      </c>
      <c r="AT33" s="551" t="str">
        <f t="shared" si="15"/>
        <v/>
      </c>
      <c r="AU33" s="534" t="str">
        <f t="shared" si="3"/>
        <v>入力済</v>
      </c>
      <c r="AV33" s="534" t="str">
        <f t="shared" si="4"/>
        <v/>
      </c>
      <c r="AW33" s="534" t="str">
        <f t="shared" si="16"/>
        <v/>
      </c>
      <c r="AX33" s="551" t="str">
        <f t="shared" si="5"/>
        <v/>
      </c>
      <c r="AY33" s="534" t="str">
        <f>IFERROR(VLOOKUP(K33,【参考】数式用!$AR$3:$AS$49, 2, FALSE), "")</f>
        <v/>
      </c>
      <c r="AZ33" s="551" t="str">
        <f t="shared" si="17"/>
        <v/>
      </c>
      <c r="BA33" s="555" t="str">
        <f t="shared" si="6"/>
        <v>入力済</v>
      </c>
      <c r="BB33" s="534" t="str">
        <f>IFERROR(VLOOKUP(K33,【参考】数式用!$AX$3:$AY$59, 2, FALSE), "")</f>
        <v/>
      </c>
      <c r="BC33" s="551" t="str">
        <f t="shared" si="18"/>
        <v/>
      </c>
      <c r="BD33" s="555" t="str">
        <f t="shared" si="7"/>
        <v>入力済</v>
      </c>
      <c r="BE33" s="555" t="str">
        <f t="shared" si="19"/>
        <v/>
      </c>
      <c r="BF33" s="555" t="str">
        <f t="shared" si="20"/>
        <v/>
      </c>
      <c r="BG33" s="555" t="str">
        <f t="shared" si="21"/>
        <v/>
      </c>
      <c r="BH33" s="555" t="str">
        <f t="shared" si="8"/>
        <v/>
      </c>
      <c r="BI33" s="555" t="str">
        <f t="shared" si="9"/>
        <v/>
      </c>
      <c r="BL33" t="str">
        <f t="shared" si="22"/>
        <v/>
      </c>
      <c r="BM33" t="str">
        <f t="shared" si="23"/>
        <v/>
      </c>
      <c r="BN33" t="str">
        <f t="shared" si="24"/>
        <v/>
      </c>
      <c r="BO33" s="562" t="str">
        <f>IF(BN33="対象",ROUNDDOWN(L33*VLOOKUP(K33,【参考】数式用!$A$4:$J$42,10,FALSE)*AA33,0),"")</f>
        <v/>
      </c>
      <c r="BP33" t="str">
        <f t="shared" si="25"/>
        <v/>
      </c>
    </row>
    <row r="34" spans="1:68" s="260" customFormat="1" ht="109.95" customHeight="1" thickBot="1">
      <c r="A34" s="306">
        <v>21</v>
      </c>
      <c r="B34" s="646" t="str">
        <f>IF(基本情報入力シート!B56="","",基本情報入力シート!B56)</f>
        <v/>
      </c>
      <c r="C34" s="647"/>
      <c r="D34" s="647"/>
      <c r="E34" s="647"/>
      <c r="F34" s="648"/>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53" t="str">
        <f>IF(基本情報入力シート!AF56=0, "",基本情報入力シート!AF56)</f>
        <v/>
      </c>
      <c r="M34" s="519" t="str">
        <f>IF('別紙様式2-2（個票（４、５月））'!M34="","",'別紙様式2-2（個票（４、５月））'!M34)</f>
        <v/>
      </c>
      <c r="N34" s="518" t="str">
        <f>IF('別紙様式2-2（個票（４、５月））'!N34="","",'別紙様式2-2（個票（４、５月））'!N34)</f>
        <v/>
      </c>
      <c r="O34" s="289"/>
      <c r="P34" s="549" t="str">
        <f>IFERROR(VLOOKUP(K34,【参考】数式用!$A$2:$M$57,MATCH(O34,【参考】数式用!$G$3:$M$3,0)+6,0),"")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0" t="str">
        <f t="shared" si="12"/>
        <v/>
      </c>
      <c r="AE34" s="310" t="str">
        <f>IFERROR(ROUNDDOWN(ROUNDDOWN(ROUND(L34*VLOOKUP(K34,【参考】数式用!$A$2:$M$57,MATCH("処遇改善加算Ⅳ",【参考】数式用!$G$3:$M$3,0)+6,0),0),0)*AA34*0.5,0), "")</f>
        <v/>
      </c>
      <c r="AF34" s="321"/>
      <c r="AG34" s="322"/>
      <c r="AH34" s="322"/>
      <c r="AI34" s="321"/>
      <c r="AJ34" s="323"/>
      <c r="AK34" s="329"/>
      <c r="AL34" s="327" t="str">
        <f t="shared" si="0"/>
        <v/>
      </c>
      <c r="AM34" s="328" t="str">
        <f t="shared" si="13"/>
        <v/>
      </c>
      <c r="AN34" s="258"/>
      <c r="AO34" s="551" t="str">
        <f>IFERROR(VLOOKUP(K34,【参考】数式用!$A$2:$N$57,14,FALSE),"")</f>
        <v/>
      </c>
      <c r="AP34" s="551" t="str">
        <f t="shared" si="14"/>
        <v/>
      </c>
      <c r="AQ34" s="556" t="str">
        <f t="shared" si="1"/>
        <v/>
      </c>
      <c r="AR34" s="556" t="str">
        <f t="shared" si="26"/>
        <v>キャリアパス要件Ⅰ・Ⅱ_</v>
      </c>
      <c r="AS34" s="534" t="str">
        <f t="shared" si="2"/>
        <v>入力済</v>
      </c>
      <c r="AT34" s="551" t="str">
        <f t="shared" si="15"/>
        <v/>
      </c>
      <c r="AU34" s="534" t="str">
        <f t="shared" si="3"/>
        <v>入力済</v>
      </c>
      <c r="AV34" s="534" t="str">
        <f t="shared" si="4"/>
        <v/>
      </c>
      <c r="AW34" s="534" t="str">
        <f t="shared" si="16"/>
        <v/>
      </c>
      <c r="AX34" s="551" t="str">
        <f t="shared" si="5"/>
        <v/>
      </c>
      <c r="AY34" s="534" t="str">
        <f>IFERROR(VLOOKUP(K34,【参考】数式用!$AR$3:$AS$49, 2, FALSE), "")</f>
        <v/>
      </c>
      <c r="AZ34" s="551" t="str">
        <f t="shared" si="17"/>
        <v/>
      </c>
      <c r="BA34" s="555" t="str">
        <f t="shared" si="6"/>
        <v>入力済</v>
      </c>
      <c r="BB34" s="534" t="str">
        <f>IFERROR(VLOOKUP(K34,【参考】数式用!$AX$3:$AY$59, 2, FALSE), "")</f>
        <v/>
      </c>
      <c r="BC34" s="551" t="str">
        <f t="shared" si="18"/>
        <v/>
      </c>
      <c r="BD34" s="555" t="str">
        <f t="shared" si="7"/>
        <v>入力済</v>
      </c>
      <c r="BE34" s="555" t="str">
        <f t="shared" si="19"/>
        <v/>
      </c>
      <c r="BF34" s="555" t="str">
        <f t="shared" si="20"/>
        <v/>
      </c>
      <c r="BG34" s="555" t="str">
        <f t="shared" si="21"/>
        <v/>
      </c>
      <c r="BH34" s="555" t="str">
        <f t="shared" si="8"/>
        <v/>
      </c>
      <c r="BI34" s="555" t="str">
        <f t="shared" si="9"/>
        <v/>
      </c>
      <c r="BL34" t="str">
        <f t="shared" si="22"/>
        <v/>
      </c>
      <c r="BM34" t="str">
        <f t="shared" si="23"/>
        <v/>
      </c>
      <c r="BN34" t="str">
        <f t="shared" si="24"/>
        <v/>
      </c>
      <c r="BO34" s="562" t="str">
        <f>IF(BN34="対象",ROUNDDOWN(L34*VLOOKUP(K34,【参考】数式用!$A$4:$J$42,10,FALSE)*AA34,0),"")</f>
        <v/>
      </c>
      <c r="BP34" t="str">
        <f t="shared" si="25"/>
        <v/>
      </c>
    </row>
    <row r="35" spans="1:68" s="260" customFormat="1" ht="109.95" customHeight="1" thickBot="1">
      <c r="A35" s="306">
        <v>22</v>
      </c>
      <c r="B35" s="646" t="str">
        <f>IF(基本情報入力シート!B57="","",基本情報入力シート!B57)</f>
        <v/>
      </c>
      <c r="C35" s="647"/>
      <c r="D35" s="647"/>
      <c r="E35" s="647"/>
      <c r="F35" s="648"/>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53" t="str">
        <f>IF(基本情報入力シート!AF57=0, "",基本情報入力シート!AF57)</f>
        <v/>
      </c>
      <c r="M35" s="519" t="str">
        <f>IF('別紙様式2-2（個票（４、５月））'!M35="","",'別紙様式2-2（個票（４、５月））'!M35)</f>
        <v/>
      </c>
      <c r="N35" s="518" t="str">
        <f>IF('別紙様式2-2（個票（４、５月））'!N35="","",'別紙様式2-2（個票（４、５月））'!N35)</f>
        <v/>
      </c>
      <c r="O35" s="289"/>
      <c r="P35" s="549" t="str">
        <f>IFERROR(VLOOKUP(K35,【参考】数式用!$A$2:$M$57,MATCH(O35,【参考】数式用!$G$3:$M$3,0)+6,0),"")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0" t="str">
        <f t="shared" si="12"/>
        <v/>
      </c>
      <c r="AE35" s="310" t="str">
        <f>IFERROR(ROUNDDOWN(ROUNDDOWN(ROUND(L35*VLOOKUP(K35,【参考】数式用!$A$2:$M$57,MATCH("処遇改善加算Ⅳ",【参考】数式用!$G$3:$M$3,0)+6,0),0),0)*AA35*0.5,0), "")</f>
        <v/>
      </c>
      <c r="AF35" s="321"/>
      <c r="AG35" s="322"/>
      <c r="AH35" s="322"/>
      <c r="AI35" s="321"/>
      <c r="AJ35" s="323"/>
      <c r="AK35" s="329"/>
      <c r="AL35" s="327" t="str">
        <f t="shared" si="0"/>
        <v/>
      </c>
      <c r="AM35" s="328" t="str">
        <f t="shared" si="13"/>
        <v/>
      </c>
      <c r="AN35" s="258"/>
      <c r="AO35" s="551" t="str">
        <f>IFERROR(VLOOKUP(K35,【参考】数式用!$A$2:$N$57,14,FALSE),"")</f>
        <v/>
      </c>
      <c r="AP35" s="551" t="str">
        <f t="shared" si="14"/>
        <v/>
      </c>
      <c r="AQ35" s="556" t="str">
        <f t="shared" si="1"/>
        <v/>
      </c>
      <c r="AR35" s="556" t="str">
        <f t="shared" si="26"/>
        <v>キャリアパス要件Ⅰ・Ⅱ_</v>
      </c>
      <c r="AS35" s="534" t="str">
        <f t="shared" si="2"/>
        <v>入力済</v>
      </c>
      <c r="AT35" s="551" t="str">
        <f t="shared" si="15"/>
        <v/>
      </c>
      <c r="AU35" s="534" t="str">
        <f t="shared" si="3"/>
        <v>入力済</v>
      </c>
      <c r="AV35" s="534" t="str">
        <f t="shared" si="4"/>
        <v/>
      </c>
      <c r="AW35" s="534" t="str">
        <f t="shared" si="16"/>
        <v/>
      </c>
      <c r="AX35" s="551" t="str">
        <f t="shared" si="5"/>
        <v/>
      </c>
      <c r="AY35" s="534" t="str">
        <f>IFERROR(VLOOKUP(K35,【参考】数式用!$AR$3:$AS$49, 2, FALSE), "")</f>
        <v/>
      </c>
      <c r="AZ35" s="551" t="str">
        <f t="shared" si="17"/>
        <v/>
      </c>
      <c r="BA35" s="555" t="str">
        <f t="shared" si="6"/>
        <v>入力済</v>
      </c>
      <c r="BB35" s="534" t="str">
        <f>IFERROR(VLOOKUP(K35,【参考】数式用!$AX$3:$AY$59, 2, FALSE), "")</f>
        <v/>
      </c>
      <c r="BC35" s="551" t="str">
        <f t="shared" si="18"/>
        <v/>
      </c>
      <c r="BD35" s="555" t="str">
        <f t="shared" si="7"/>
        <v>入力済</v>
      </c>
      <c r="BE35" s="555" t="str">
        <f t="shared" si="19"/>
        <v/>
      </c>
      <c r="BF35" s="555" t="str">
        <f t="shared" si="20"/>
        <v/>
      </c>
      <c r="BG35" s="555" t="str">
        <f t="shared" si="21"/>
        <v/>
      </c>
      <c r="BH35" s="555" t="str">
        <f t="shared" si="8"/>
        <v/>
      </c>
      <c r="BI35" s="555" t="str">
        <f t="shared" si="9"/>
        <v/>
      </c>
      <c r="BL35" t="str">
        <f t="shared" si="22"/>
        <v/>
      </c>
      <c r="BM35" t="str">
        <f t="shared" si="23"/>
        <v/>
      </c>
      <c r="BN35" t="str">
        <f t="shared" si="24"/>
        <v/>
      </c>
      <c r="BO35" s="562" t="str">
        <f>IF(BN35="対象",ROUNDDOWN(L35*VLOOKUP(K35,【参考】数式用!$A$4:$J$42,10,FALSE)*AA35,0),"")</f>
        <v/>
      </c>
      <c r="BP35" t="str">
        <f t="shared" si="25"/>
        <v/>
      </c>
    </row>
    <row r="36" spans="1:68" s="260" customFormat="1" ht="109.95" customHeight="1" thickBot="1">
      <c r="A36" s="306">
        <v>23</v>
      </c>
      <c r="B36" s="646" t="str">
        <f>IF(基本情報入力シート!B58="","",基本情報入力シート!B58)</f>
        <v/>
      </c>
      <c r="C36" s="647"/>
      <c r="D36" s="647"/>
      <c r="E36" s="647"/>
      <c r="F36" s="648"/>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53" t="str">
        <f>IF(基本情報入力シート!AF58=0, "",基本情報入力シート!AF58)</f>
        <v/>
      </c>
      <c r="M36" s="519" t="str">
        <f>IF('別紙様式2-2（個票（４、５月））'!M36="","",'別紙様式2-2（個票（４、５月））'!M36)</f>
        <v/>
      </c>
      <c r="N36" s="518" t="str">
        <f>IF('別紙様式2-2（個票（４、５月））'!N36="","",'別紙様式2-2（個票（４、５月））'!N36)</f>
        <v/>
      </c>
      <c r="O36" s="289"/>
      <c r="P36" s="549" t="str">
        <f>IFERROR(VLOOKUP(K36,【参考】数式用!$A$2:$M$57,MATCH(O36,【参考】数式用!$G$3:$M$3,0)+6,0),"")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0" t="str">
        <f t="shared" si="12"/>
        <v/>
      </c>
      <c r="AE36" s="310" t="str">
        <f>IFERROR(ROUNDDOWN(ROUNDDOWN(ROUND(L36*VLOOKUP(K36,【参考】数式用!$A$2:$M$57,MATCH("処遇改善加算Ⅳ",【参考】数式用!$G$3:$M$3,0)+6,0),0),0)*AA36*0.5,0), "")</f>
        <v/>
      </c>
      <c r="AF36" s="321"/>
      <c r="AG36" s="322"/>
      <c r="AH36" s="322"/>
      <c r="AI36" s="321"/>
      <c r="AJ36" s="323"/>
      <c r="AK36" s="329"/>
      <c r="AL36" s="327" t="str">
        <f t="shared" si="0"/>
        <v/>
      </c>
      <c r="AM36" s="328" t="str">
        <f t="shared" si="13"/>
        <v/>
      </c>
      <c r="AN36" s="258"/>
      <c r="AO36" s="551" t="str">
        <f>IFERROR(VLOOKUP(K36,【参考】数式用!$A$2:$N$57,14,FALSE),"")</f>
        <v/>
      </c>
      <c r="AP36" s="551" t="str">
        <f t="shared" si="14"/>
        <v/>
      </c>
      <c r="AQ36" s="556" t="str">
        <f t="shared" si="1"/>
        <v/>
      </c>
      <c r="AR36" s="556" t="str">
        <f t="shared" si="26"/>
        <v>キャリアパス要件Ⅰ・Ⅱ_</v>
      </c>
      <c r="AS36" s="534" t="str">
        <f t="shared" si="2"/>
        <v>入力済</v>
      </c>
      <c r="AT36" s="551" t="str">
        <f t="shared" si="15"/>
        <v/>
      </c>
      <c r="AU36" s="534" t="str">
        <f t="shared" si="3"/>
        <v>入力済</v>
      </c>
      <c r="AV36" s="534" t="str">
        <f t="shared" si="4"/>
        <v/>
      </c>
      <c r="AW36" s="534" t="str">
        <f t="shared" si="16"/>
        <v/>
      </c>
      <c r="AX36" s="551" t="str">
        <f t="shared" si="5"/>
        <v/>
      </c>
      <c r="AY36" s="534" t="str">
        <f>IFERROR(VLOOKUP(K36,【参考】数式用!$AR$3:$AS$49, 2, FALSE), "")</f>
        <v/>
      </c>
      <c r="AZ36" s="551" t="str">
        <f t="shared" si="17"/>
        <v/>
      </c>
      <c r="BA36" s="555" t="str">
        <f t="shared" si="6"/>
        <v>入力済</v>
      </c>
      <c r="BB36" s="534" t="str">
        <f>IFERROR(VLOOKUP(K36,【参考】数式用!$AX$3:$AY$59, 2, FALSE), "")</f>
        <v/>
      </c>
      <c r="BC36" s="551" t="str">
        <f t="shared" si="18"/>
        <v/>
      </c>
      <c r="BD36" s="555" t="str">
        <f t="shared" si="7"/>
        <v>入力済</v>
      </c>
      <c r="BE36" s="555" t="str">
        <f t="shared" si="19"/>
        <v/>
      </c>
      <c r="BF36" s="555" t="str">
        <f t="shared" si="20"/>
        <v/>
      </c>
      <c r="BG36" s="555" t="str">
        <f t="shared" si="21"/>
        <v/>
      </c>
      <c r="BH36" s="555" t="str">
        <f t="shared" si="8"/>
        <v/>
      </c>
      <c r="BI36" s="555" t="str">
        <f t="shared" si="9"/>
        <v/>
      </c>
      <c r="BL36" t="str">
        <f t="shared" si="22"/>
        <v/>
      </c>
      <c r="BM36" t="str">
        <f t="shared" si="23"/>
        <v/>
      </c>
      <c r="BN36" t="str">
        <f t="shared" si="24"/>
        <v/>
      </c>
      <c r="BO36" s="562" t="str">
        <f>IF(BN36="対象",ROUNDDOWN(L36*VLOOKUP(K36,【参考】数式用!$A$4:$J$42,10,FALSE)*AA36,0),"")</f>
        <v/>
      </c>
      <c r="BP36" t="str">
        <f t="shared" si="25"/>
        <v/>
      </c>
    </row>
    <row r="37" spans="1:68" s="260" customFormat="1" ht="109.95" customHeight="1" thickBot="1">
      <c r="A37" s="306">
        <v>24</v>
      </c>
      <c r="B37" s="646" t="str">
        <f>IF(基本情報入力シート!B59="","",基本情報入力シート!B59)</f>
        <v/>
      </c>
      <c r="C37" s="647"/>
      <c r="D37" s="647"/>
      <c r="E37" s="647"/>
      <c r="F37" s="648"/>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53" t="str">
        <f>IF(基本情報入力シート!AF59=0, "",基本情報入力シート!AF59)</f>
        <v/>
      </c>
      <c r="M37" s="519" t="str">
        <f>IF('別紙様式2-2（個票（４、５月））'!M37="","",'別紙様式2-2（個票（４、５月））'!M37)</f>
        <v/>
      </c>
      <c r="N37" s="518" t="str">
        <f>IF('別紙様式2-2（個票（４、５月））'!N37="","",'別紙様式2-2（個票（４、５月））'!N37)</f>
        <v/>
      </c>
      <c r="O37" s="289"/>
      <c r="P37" s="549" t="str">
        <f>IFERROR(VLOOKUP(K37,【参考】数式用!$A$2:$M$57,MATCH(O37,【参考】数式用!$G$3:$M$3,0)+6,0),"")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0" t="str">
        <f t="shared" si="12"/>
        <v/>
      </c>
      <c r="AE37" s="310" t="str">
        <f>IFERROR(ROUNDDOWN(ROUNDDOWN(ROUND(L37*VLOOKUP(K37,【参考】数式用!$A$2:$M$57,MATCH("処遇改善加算Ⅳ",【参考】数式用!$G$3:$M$3,0)+6,0),0),0)*AA37*0.5,0), "")</f>
        <v/>
      </c>
      <c r="AF37" s="321"/>
      <c r="AG37" s="322"/>
      <c r="AH37" s="322"/>
      <c r="AI37" s="321"/>
      <c r="AJ37" s="323"/>
      <c r="AK37" s="329"/>
      <c r="AL37" s="327" t="str">
        <f t="shared" si="0"/>
        <v/>
      </c>
      <c r="AM37" s="328" t="str">
        <f t="shared" si="13"/>
        <v/>
      </c>
      <c r="AN37" s="258"/>
      <c r="AO37" s="551" t="str">
        <f>IFERROR(VLOOKUP(K37,【参考】数式用!$A$2:$N$57,14,FALSE),"")</f>
        <v/>
      </c>
      <c r="AP37" s="551" t="str">
        <f t="shared" si="14"/>
        <v/>
      </c>
      <c r="AQ37" s="556" t="str">
        <f t="shared" si="1"/>
        <v/>
      </c>
      <c r="AR37" s="556" t="str">
        <f t="shared" si="26"/>
        <v>キャリアパス要件Ⅰ・Ⅱ_</v>
      </c>
      <c r="AS37" s="534" t="str">
        <f t="shared" si="2"/>
        <v>入力済</v>
      </c>
      <c r="AT37" s="551" t="str">
        <f t="shared" si="15"/>
        <v/>
      </c>
      <c r="AU37" s="534" t="str">
        <f t="shared" si="3"/>
        <v>入力済</v>
      </c>
      <c r="AV37" s="534" t="str">
        <f t="shared" si="4"/>
        <v/>
      </c>
      <c r="AW37" s="534" t="str">
        <f t="shared" si="16"/>
        <v/>
      </c>
      <c r="AX37" s="551" t="str">
        <f t="shared" si="5"/>
        <v/>
      </c>
      <c r="AY37" s="534" t="str">
        <f>IFERROR(VLOOKUP(K37,【参考】数式用!$AR$3:$AS$49, 2, FALSE), "")</f>
        <v/>
      </c>
      <c r="AZ37" s="551" t="str">
        <f t="shared" si="17"/>
        <v/>
      </c>
      <c r="BA37" s="555" t="str">
        <f t="shared" si="6"/>
        <v>入力済</v>
      </c>
      <c r="BB37" s="534" t="str">
        <f>IFERROR(VLOOKUP(K37,【参考】数式用!$AX$3:$AY$59, 2, FALSE), "")</f>
        <v/>
      </c>
      <c r="BC37" s="551" t="str">
        <f t="shared" si="18"/>
        <v/>
      </c>
      <c r="BD37" s="555" t="str">
        <f t="shared" si="7"/>
        <v>入力済</v>
      </c>
      <c r="BE37" s="555" t="str">
        <f t="shared" si="19"/>
        <v/>
      </c>
      <c r="BF37" s="555" t="str">
        <f t="shared" si="20"/>
        <v/>
      </c>
      <c r="BG37" s="555" t="str">
        <f t="shared" si="21"/>
        <v/>
      </c>
      <c r="BH37" s="555" t="str">
        <f t="shared" si="8"/>
        <v/>
      </c>
      <c r="BI37" s="555" t="str">
        <f t="shared" si="9"/>
        <v/>
      </c>
      <c r="BL37" t="str">
        <f t="shared" si="22"/>
        <v/>
      </c>
      <c r="BM37" t="str">
        <f t="shared" si="23"/>
        <v/>
      </c>
      <c r="BN37" t="str">
        <f t="shared" si="24"/>
        <v/>
      </c>
      <c r="BO37" s="562" t="str">
        <f>IF(BN37="対象",ROUNDDOWN(L37*VLOOKUP(K37,【参考】数式用!$A$4:$J$42,10,FALSE)*AA37,0),"")</f>
        <v/>
      </c>
      <c r="BP37" t="str">
        <f t="shared" si="25"/>
        <v/>
      </c>
    </row>
    <row r="38" spans="1:68" s="260" customFormat="1" ht="109.95" customHeight="1" thickBot="1">
      <c r="A38" s="306">
        <v>25</v>
      </c>
      <c r="B38" s="646" t="str">
        <f>IF(基本情報入力シート!B60="","",基本情報入力シート!B60)</f>
        <v/>
      </c>
      <c r="C38" s="647"/>
      <c r="D38" s="647"/>
      <c r="E38" s="647"/>
      <c r="F38" s="648"/>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53" t="str">
        <f>IF(基本情報入力シート!AF60=0, "",基本情報入力シート!AF60)</f>
        <v/>
      </c>
      <c r="M38" s="519" t="str">
        <f>IF('別紙様式2-2（個票（４、５月））'!M38="","",'別紙様式2-2（個票（４、５月））'!M38)</f>
        <v/>
      </c>
      <c r="N38" s="518" t="str">
        <f>IF('別紙様式2-2（個票（４、５月））'!N38="","",'別紙様式2-2（個票（４、５月））'!N38)</f>
        <v/>
      </c>
      <c r="O38" s="289"/>
      <c r="P38" s="549" t="str">
        <f>IFERROR(VLOOKUP(K38,【参考】数式用!$A$2:$M$57,MATCH(O38,【参考】数式用!$G$3:$M$3,0)+6,0),"")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0" t="str">
        <f t="shared" si="12"/>
        <v/>
      </c>
      <c r="AE38" s="310" t="str">
        <f>IFERROR(ROUNDDOWN(ROUNDDOWN(ROUND(L38*VLOOKUP(K38,【参考】数式用!$A$2:$M$57,MATCH("処遇改善加算Ⅳ",【参考】数式用!$G$3:$M$3,0)+6,0),0),0)*AA38*0.5,0), "")</f>
        <v/>
      </c>
      <c r="AF38" s="321"/>
      <c r="AG38" s="322"/>
      <c r="AH38" s="322"/>
      <c r="AI38" s="321"/>
      <c r="AJ38" s="323"/>
      <c r="AK38" s="329"/>
      <c r="AL38" s="327" t="str">
        <f t="shared" si="0"/>
        <v/>
      </c>
      <c r="AM38" s="328" t="str">
        <f t="shared" si="13"/>
        <v/>
      </c>
      <c r="AN38" s="258"/>
      <c r="AO38" s="551" t="str">
        <f>IFERROR(VLOOKUP(K38,【参考】数式用!$A$2:$N$57,14,FALSE),"")</f>
        <v/>
      </c>
      <c r="AP38" s="551" t="str">
        <f t="shared" si="14"/>
        <v/>
      </c>
      <c r="AQ38" s="556" t="str">
        <f t="shared" si="1"/>
        <v/>
      </c>
      <c r="AR38" s="556" t="str">
        <f t="shared" si="26"/>
        <v>キャリアパス要件Ⅰ・Ⅱ_</v>
      </c>
      <c r="AS38" s="534" t="str">
        <f t="shared" si="2"/>
        <v>入力済</v>
      </c>
      <c r="AT38" s="551" t="str">
        <f t="shared" si="15"/>
        <v/>
      </c>
      <c r="AU38" s="534" t="str">
        <f t="shared" si="3"/>
        <v>入力済</v>
      </c>
      <c r="AV38" s="534" t="str">
        <f t="shared" si="4"/>
        <v/>
      </c>
      <c r="AW38" s="534" t="str">
        <f t="shared" si="16"/>
        <v/>
      </c>
      <c r="AX38" s="551" t="str">
        <f t="shared" si="5"/>
        <v/>
      </c>
      <c r="AY38" s="534" t="str">
        <f>IFERROR(VLOOKUP(K38,【参考】数式用!$AR$3:$AS$49, 2, FALSE), "")</f>
        <v/>
      </c>
      <c r="AZ38" s="551" t="str">
        <f t="shared" si="17"/>
        <v/>
      </c>
      <c r="BA38" s="555" t="str">
        <f t="shared" si="6"/>
        <v>入力済</v>
      </c>
      <c r="BB38" s="534" t="str">
        <f>IFERROR(VLOOKUP(K38,【参考】数式用!$AX$3:$AY$59, 2, FALSE), "")</f>
        <v/>
      </c>
      <c r="BC38" s="551" t="str">
        <f t="shared" si="18"/>
        <v/>
      </c>
      <c r="BD38" s="555" t="str">
        <f t="shared" si="7"/>
        <v>入力済</v>
      </c>
      <c r="BE38" s="555" t="str">
        <f t="shared" si="19"/>
        <v/>
      </c>
      <c r="BF38" s="555" t="str">
        <f t="shared" si="20"/>
        <v/>
      </c>
      <c r="BG38" s="555" t="str">
        <f t="shared" si="21"/>
        <v/>
      </c>
      <c r="BH38" s="555" t="str">
        <f t="shared" si="8"/>
        <v/>
      </c>
      <c r="BI38" s="555" t="str">
        <f t="shared" si="9"/>
        <v/>
      </c>
      <c r="BL38" t="str">
        <f t="shared" si="22"/>
        <v/>
      </c>
      <c r="BM38" t="str">
        <f t="shared" si="23"/>
        <v/>
      </c>
      <c r="BN38" t="str">
        <f t="shared" si="24"/>
        <v/>
      </c>
      <c r="BO38" s="562" t="str">
        <f>IF(BN38="対象",ROUNDDOWN(L38*VLOOKUP(K38,【参考】数式用!$A$4:$J$42,10,FALSE)*AA38,0),"")</f>
        <v/>
      </c>
      <c r="BP38" t="str">
        <f t="shared" si="25"/>
        <v/>
      </c>
    </row>
    <row r="39" spans="1:68" s="260" customFormat="1" ht="109.95" customHeight="1" thickBot="1">
      <c r="A39" s="306">
        <v>26</v>
      </c>
      <c r="B39" s="646" t="str">
        <f>IF(基本情報入力シート!B61="","",基本情報入力シート!B61)</f>
        <v/>
      </c>
      <c r="C39" s="647"/>
      <c r="D39" s="647"/>
      <c r="E39" s="647"/>
      <c r="F39" s="648"/>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53" t="str">
        <f>IF(基本情報入力シート!AF61=0, "",基本情報入力シート!AF61)</f>
        <v/>
      </c>
      <c r="M39" s="519" t="str">
        <f>IF('別紙様式2-2（個票（４、５月））'!M39="","",'別紙様式2-2（個票（４、５月））'!M39)</f>
        <v/>
      </c>
      <c r="N39" s="518" t="str">
        <f>IF('別紙様式2-2（個票（４、５月））'!N39="","",'別紙様式2-2（個票（４、５月））'!N39)</f>
        <v/>
      </c>
      <c r="O39" s="289"/>
      <c r="P39" s="549" t="str">
        <f>IFERROR(VLOOKUP(K39,【参考】数式用!$A$2:$M$57,MATCH(O39,【参考】数式用!$G$3:$M$3,0)+6,0),"")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0" t="str">
        <f t="shared" si="12"/>
        <v/>
      </c>
      <c r="AE39" s="310" t="str">
        <f>IFERROR(ROUNDDOWN(ROUNDDOWN(ROUND(L39*VLOOKUP(K39,【参考】数式用!$A$2:$M$57,MATCH("処遇改善加算Ⅳ",【参考】数式用!$G$3:$M$3,0)+6,0),0),0)*AA39*0.5,0), "")</f>
        <v/>
      </c>
      <c r="AF39" s="321"/>
      <c r="AG39" s="322"/>
      <c r="AH39" s="322"/>
      <c r="AI39" s="321"/>
      <c r="AJ39" s="323"/>
      <c r="AK39" s="329"/>
      <c r="AL39" s="327" t="str">
        <f t="shared" si="0"/>
        <v/>
      </c>
      <c r="AM39" s="328" t="str">
        <f t="shared" si="13"/>
        <v/>
      </c>
      <c r="AN39" s="258"/>
      <c r="AO39" s="551" t="str">
        <f>IFERROR(VLOOKUP(K39,【参考】数式用!$A$2:$N$57,14,FALSE),"")</f>
        <v/>
      </c>
      <c r="AP39" s="551" t="str">
        <f t="shared" si="14"/>
        <v/>
      </c>
      <c r="AQ39" s="556" t="str">
        <f t="shared" si="1"/>
        <v/>
      </c>
      <c r="AR39" s="556" t="str">
        <f t="shared" si="26"/>
        <v>キャリアパス要件Ⅰ・Ⅱ_</v>
      </c>
      <c r="AS39" s="534" t="str">
        <f t="shared" si="2"/>
        <v>入力済</v>
      </c>
      <c r="AT39" s="551" t="str">
        <f t="shared" si="15"/>
        <v/>
      </c>
      <c r="AU39" s="534" t="str">
        <f t="shared" si="3"/>
        <v>入力済</v>
      </c>
      <c r="AV39" s="534" t="str">
        <f t="shared" si="4"/>
        <v/>
      </c>
      <c r="AW39" s="534" t="str">
        <f t="shared" si="16"/>
        <v/>
      </c>
      <c r="AX39" s="551" t="str">
        <f t="shared" si="5"/>
        <v/>
      </c>
      <c r="AY39" s="534" t="str">
        <f>IFERROR(VLOOKUP(K39,【参考】数式用!$AR$3:$AS$49, 2, FALSE), "")</f>
        <v/>
      </c>
      <c r="AZ39" s="551" t="str">
        <f t="shared" si="17"/>
        <v/>
      </c>
      <c r="BA39" s="555" t="str">
        <f t="shared" si="6"/>
        <v>入力済</v>
      </c>
      <c r="BB39" s="534" t="str">
        <f>IFERROR(VLOOKUP(K39,【参考】数式用!$AX$3:$AY$59, 2, FALSE), "")</f>
        <v/>
      </c>
      <c r="BC39" s="551" t="str">
        <f t="shared" si="18"/>
        <v/>
      </c>
      <c r="BD39" s="555" t="str">
        <f t="shared" si="7"/>
        <v>入力済</v>
      </c>
      <c r="BE39" s="555" t="str">
        <f t="shared" si="19"/>
        <v/>
      </c>
      <c r="BF39" s="555" t="str">
        <f t="shared" si="20"/>
        <v/>
      </c>
      <c r="BG39" s="555" t="str">
        <f t="shared" si="21"/>
        <v/>
      </c>
      <c r="BH39" s="555" t="str">
        <f t="shared" si="8"/>
        <v/>
      </c>
      <c r="BI39" s="555" t="str">
        <f t="shared" si="9"/>
        <v/>
      </c>
      <c r="BL39" t="str">
        <f t="shared" si="22"/>
        <v/>
      </c>
      <c r="BM39" t="str">
        <f t="shared" si="23"/>
        <v/>
      </c>
      <c r="BN39" t="str">
        <f t="shared" si="24"/>
        <v/>
      </c>
      <c r="BO39" s="562" t="str">
        <f>IF(BN39="対象",ROUNDDOWN(L39*VLOOKUP(K39,【参考】数式用!$A$4:$J$42,10,FALSE)*AA39,0),"")</f>
        <v/>
      </c>
      <c r="BP39" t="str">
        <f t="shared" si="25"/>
        <v/>
      </c>
    </row>
    <row r="40" spans="1:68" s="260" customFormat="1" ht="109.95" customHeight="1" thickBot="1">
      <c r="A40" s="306">
        <v>27</v>
      </c>
      <c r="B40" s="646" t="str">
        <f>IF(基本情報入力シート!B62="","",基本情報入力シート!B62)</f>
        <v/>
      </c>
      <c r="C40" s="647"/>
      <c r="D40" s="647"/>
      <c r="E40" s="647"/>
      <c r="F40" s="648"/>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53" t="str">
        <f>IF(基本情報入力シート!AF62=0, "",基本情報入力シート!AF62)</f>
        <v/>
      </c>
      <c r="M40" s="519" t="str">
        <f>IF('別紙様式2-2（個票（４、５月））'!M40="","",'別紙様式2-2（個票（４、５月））'!M40)</f>
        <v/>
      </c>
      <c r="N40" s="518" t="str">
        <f>IF('別紙様式2-2（個票（４、５月））'!N40="","",'別紙様式2-2（個票（４、５月））'!N40)</f>
        <v/>
      </c>
      <c r="O40" s="289"/>
      <c r="P40" s="549" t="str">
        <f>IFERROR(VLOOKUP(K40,【参考】数式用!$A$2:$M$57,MATCH(O40,【参考】数式用!$G$3:$M$3,0)+6,0),"")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0" t="str">
        <f t="shared" si="12"/>
        <v/>
      </c>
      <c r="AE40" s="310" t="str">
        <f>IFERROR(ROUNDDOWN(ROUNDDOWN(ROUND(L40*VLOOKUP(K40,【参考】数式用!$A$2:$M$57,MATCH("処遇改善加算Ⅳ",【参考】数式用!$G$3:$M$3,0)+6,0),0),0)*AA40*0.5,0), "")</f>
        <v/>
      </c>
      <c r="AF40" s="321"/>
      <c r="AG40" s="322"/>
      <c r="AH40" s="322"/>
      <c r="AI40" s="321"/>
      <c r="AJ40" s="323"/>
      <c r="AK40" s="329"/>
      <c r="AL40" s="327" t="str">
        <f t="shared" si="0"/>
        <v/>
      </c>
      <c r="AM40" s="328" t="str">
        <f t="shared" si="13"/>
        <v/>
      </c>
      <c r="AN40" s="258"/>
      <c r="AO40" s="551" t="str">
        <f>IFERROR(VLOOKUP(K40,【参考】数式用!$A$2:$N$57,14,FALSE),"")</f>
        <v/>
      </c>
      <c r="AP40" s="551" t="str">
        <f t="shared" si="14"/>
        <v/>
      </c>
      <c r="AQ40" s="556" t="str">
        <f t="shared" si="1"/>
        <v/>
      </c>
      <c r="AR40" s="556" t="str">
        <f t="shared" si="26"/>
        <v>キャリアパス要件Ⅰ・Ⅱ_</v>
      </c>
      <c r="AS40" s="534" t="str">
        <f t="shared" si="2"/>
        <v>入力済</v>
      </c>
      <c r="AT40" s="551" t="str">
        <f t="shared" si="15"/>
        <v/>
      </c>
      <c r="AU40" s="534" t="str">
        <f t="shared" si="3"/>
        <v>入力済</v>
      </c>
      <c r="AV40" s="534" t="str">
        <f t="shared" si="4"/>
        <v/>
      </c>
      <c r="AW40" s="534" t="str">
        <f t="shared" si="16"/>
        <v/>
      </c>
      <c r="AX40" s="551" t="str">
        <f t="shared" si="5"/>
        <v/>
      </c>
      <c r="AY40" s="534" t="str">
        <f>IFERROR(VLOOKUP(K40,【参考】数式用!$AR$3:$AS$49, 2, FALSE), "")</f>
        <v/>
      </c>
      <c r="AZ40" s="551" t="str">
        <f t="shared" si="17"/>
        <v/>
      </c>
      <c r="BA40" s="555" t="str">
        <f t="shared" si="6"/>
        <v>入力済</v>
      </c>
      <c r="BB40" s="534" t="str">
        <f>IFERROR(VLOOKUP(K40,【参考】数式用!$AX$3:$AY$59, 2, FALSE), "")</f>
        <v/>
      </c>
      <c r="BC40" s="551" t="str">
        <f t="shared" si="18"/>
        <v/>
      </c>
      <c r="BD40" s="555" t="str">
        <f t="shared" si="7"/>
        <v>入力済</v>
      </c>
      <c r="BE40" s="555" t="str">
        <f t="shared" si="19"/>
        <v/>
      </c>
      <c r="BF40" s="555" t="str">
        <f t="shared" si="20"/>
        <v/>
      </c>
      <c r="BG40" s="555" t="str">
        <f t="shared" si="21"/>
        <v/>
      </c>
      <c r="BH40" s="555" t="str">
        <f t="shared" si="8"/>
        <v/>
      </c>
      <c r="BI40" s="555" t="str">
        <f t="shared" si="9"/>
        <v/>
      </c>
      <c r="BL40" t="str">
        <f t="shared" si="22"/>
        <v/>
      </c>
      <c r="BM40" t="str">
        <f t="shared" si="23"/>
        <v/>
      </c>
      <c r="BN40" t="str">
        <f t="shared" si="24"/>
        <v/>
      </c>
      <c r="BO40" s="562" t="str">
        <f>IF(BN40="対象",ROUNDDOWN(L40*VLOOKUP(K40,【参考】数式用!$A$4:$J$42,10,FALSE)*AA40,0),"")</f>
        <v/>
      </c>
      <c r="BP40" t="str">
        <f t="shared" si="25"/>
        <v/>
      </c>
    </row>
    <row r="41" spans="1:68" s="260" customFormat="1" ht="109.95" customHeight="1" thickBot="1">
      <c r="A41" s="306">
        <v>28</v>
      </c>
      <c r="B41" s="646" t="str">
        <f>IF(基本情報入力シート!B63="","",基本情報入力シート!B63)</f>
        <v/>
      </c>
      <c r="C41" s="647"/>
      <c r="D41" s="647"/>
      <c r="E41" s="647"/>
      <c r="F41" s="648"/>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53" t="str">
        <f>IF(基本情報入力シート!AF63=0, "",基本情報入力シート!AF63)</f>
        <v/>
      </c>
      <c r="M41" s="519" t="str">
        <f>IF('別紙様式2-2（個票（４、５月））'!M41="","",'別紙様式2-2（個票（４、５月））'!M41)</f>
        <v/>
      </c>
      <c r="N41" s="518" t="str">
        <f>IF('別紙様式2-2（個票（４、５月））'!N41="","",'別紙様式2-2（個票（４、５月））'!N41)</f>
        <v/>
      </c>
      <c r="O41" s="289"/>
      <c r="P41" s="549" t="str">
        <f>IFERROR(VLOOKUP(K41,【参考】数式用!$A$2:$M$57,MATCH(O41,【参考】数式用!$G$3:$M$3,0)+6,0),"")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0" t="str">
        <f t="shared" si="12"/>
        <v/>
      </c>
      <c r="AE41" s="310" t="str">
        <f>IFERROR(ROUNDDOWN(ROUNDDOWN(ROUND(L41*VLOOKUP(K41,【参考】数式用!$A$2:$M$57,MATCH("処遇改善加算Ⅳ",【参考】数式用!$G$3:$M$3,0)+6,0),0),0)*AA41*0.5,0), "")</f>
        <v/>
      </c>
      <c r="AF41" s="321"/>
      <c r="AG41" s="322"/>
      <c r="AH41" s="322"/>
      <c r="AI41" s="321"/>
      <c r="AJ41" s="323"/>
      <c r="AK41" s="329"/>
      <c r="AL41" s="327" t="str">
        <f t="shared" si="0"/>
        <v/>
      </c>
      <c r="AM41" s="328" t="str">
        <f t="shared" si="13"/>
        <v/>
      </c>
      <c r="AN41" s="258"/>
      <c r="AO41" s="551" t="str">
        <f>IFERROR(VLOOKUP(K41,【参考】数式用!$A$2:$N$57,14,FALSE),"")</f>
        <v/>
      </c>
      <c r="AP41" s="551" t="str">
        <f t="shared" si="14"/>
        <v/>
      </c>
      <c r="AQ41" s="556" t="str">
        <f t="shared" si="1"/>
        <v/>
      </c>
      <c r="AR41" s="556" t="str">
        <f t="shared" si="26"/>
        <v>キャリアパス要件Ⅰ・Ⅱ_</v>
      </c>
      <c r="AS41" s="534" t="str">
        <f t="shared" si="2"/>
        <v>入力済</v>
      </c>
      <c r="AT41" s="551" t="str">
        <f t="shared" si="15"/>
        <v/>
      </c>
      <c r="AU41" s="534" t="str">
        <f t="shared" si="3"/>
        <v>入力済</v>
      </c>
      <c r="AV41" s="534" t="str">
        <f t="shared" si="4"/>
        <v/>
      </c>
      <c r="AW41" s="534" t="str">
        <f t="shared" si="16"/>
        <v/>
      </c>
      <c r="AX41" s="551" t="str">
        <f t="shared" si="5"/>
        <v/>
      </c>
      <c r="AY41" s="534" t="str">
        <f>IFERROR(VLOOKUP(K41,【参考】数式用!$AR$3:$AS$49, 2, FALSE), "")</f>
        <v/>
      </c>
      <c r="AZ41" s="551" t="str">
        <f t="shared" si="17"/>
        <v/>
      </c>
      <c r="BA41" s="555" t="str">
        <f t="shared" si="6"/>
        <v>入力済</v>
      </c>
      <c r="BB41" s="534" t="str">
        <f>IFERROR(VLOOKUP(K41,【参考】数式用!$AX$3:$AY$59, 2, FALSE), "")</f>
        <v/>
      </c>
      <c r="BC41" s="551" t="str">
        <f t="shared" si="18"/>
        <v/>
      </c>
      <c r="BD41" s="555" t="str">
        <f t="shared" si="7"/>
        <v>入力済</v>
      </c>
      <c r="BE41" s="555" t="str">
        <f t="shared" si="19"/>
        <v/>
      </c>
      <c r="BF41" s="555" t="str">
        <f t="shared" si="20"/>
        <v/>
      </c>
      <c r="BG41" s="555" t="str">
        <f t="shared" si="21"/>
        <v/>
      </c>
      <c r="BH41" s="555" t="str">
        <f t="shared" si="8"/>
        <v/>
      </c>
      <c r="BI41" s="555" t="str">
        <f t="shared" si="9"/>
        <v/>
      </c>
      <c r="BL41" t="str">
        <f t="shared" si="22"/>
        <v/>
      </c>
      <c r="BM41" t="str">
        <f t="shared" si="23"/>
        <v/>
      </c>
      <c r="BN41" t="str">
        <f t="shared" si="24"/>
        <v/>
      </c>
      <c r="BO41" s="562" t="str">
        <f>IF(BN41="対象",ROUNDDOWN(L41*VLOOKUP(K41,【参考】数式用!$A$4:$J$42,10,FALSE)*AA41,0),"")</f>
        <v/>
      </c>
      <c r="BP41" t="str">
        <f t="shared" si="25"/>
        <v/>
      </c>
    </row>
    <row r="42" spans="1:68" ht="109.95" customHeight="1" thickBot="1">
      <c r="A42" s="306">
        <v>29</v>
      </c>
      <c r="B42" s="646" t="str">
        <f>IF(基本情報入力シート!B64="","",基本情報入力シート!B64)</f>
        <v/>
      </c>
      <c r="C42" s="647"/>
      <c r="D42" s="647"/>
      <c r="E42" s="647"/>
      <c r="F42" s="648"/>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53" t="str">
        <f>IF(基本情報入力シート!AF64=0, "",基本情報入力シート!AF64)</f>
        <v/>
      </c>
      <c r="M42" s="519" t="str">
        <f>IF('別紙様式2-2（個票（４、５月））'!M42="","",'別紙様式2-2（個票（４、５月））'!M42)</f>
        <v/>
      </c>
      <c r="N42" s="518" t="str">
        <f>IF('別紙様式2-2（個票（４、５月））'!N42="","",'別紙様式2-2（個票（４、５月））'!N42)</f>
        <v/>
      </c>
      <c r="O42" s="289"/>
      <c r="P42" s="549" t="str">
        <f>IFERROR(VLOOKUP(K42,【参考】数式用!$A$2:$M$57,MATCH(O42,【参考】数式用!$G$3:$M$3,0)+6,0),"")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0" t="str">
        <f t="shared" si="12"/>
        <v/>
      </c>
      <c r="AE42" s="310" t="str">
        <f>IFERROR(ROUNDDOWN(ROUNDDOWN(ROUND(L42*VLOOKUP(K42,【参考】数式用!$A$2:$M$57,MATCH("処遇改善加算Ⅳ",【参考】数式用!$G$3:$M$3,0)+6,0),0),0)*AA42*0.5,0), "")</f>
        <v/>
      </c>
      <c r="AF42" s="321"/>
      <c r="AG42" s="322"/>
      <c r="AH42" s="322"/>
      <c r="AI42" s="321"/>
      <c r="AJ42" s="323"/>
      <c r="AK42" s="329"/>
      <c r="AL42" s="327" t="str">
        <f t="shared" si="0"/>
        <v/>
      </c>
      <c r="AM42" s="328" t="str">
        <f t="shared" si="13"/>
        <v/>
      </c>
      <c r="AN42" s="258"/>
      <c r="AO42" s="551" t="str">
        <f>IFERROR(VLOOKUP(K42,【参考】数式用!$A$2:$N$57,14,FALSE),"")</f>
        <v/>
      </c>
      <c r="AP42" s="551" t="str">
        <f t="shared" si="14"/>
        <v/>
      </c>
      <c r="AQ42" s="556" t="str">
        <f t="shared" si="1"/>
        <v/>
      </c>
      <c r="AR42" s="556" t="str">
        <f t="shared" si="26"/>
        <v>キャリアパス要件Ⅰ・Ⅱ_</v>
      </c>
      <c r="AS42" s="534" t="str">
        <f t="shared" si="2"/>
        <v>入力済</v>
      </c>
      <c r="AT42" s="551" t="str">
        <f t="shared" si="15"/>
        <v/>
      </c>
      <c r="AU42" s="534" t="str">
        <f t="shared" si="3"/>
        <v>入力済</v>
      </c>
      <c r="AV42" s="534" t="str">
        <f t="shared" si="4"/>
        <v/>
      </c>
      <c r="AW42" s="534" t="str">
        <f t="shared" si="16"/>
        <v/>
      </c>
      <c r="AX42" s="551" t="str">
        <f t="shared" si="5"/>
        <v/>
      </c>
      <c r="AY42" s="534" t="str">
        <f>IFERROR(VLOOKUP(K42,【参考】数式用!$AR$3:$AS$49, 2, FALSE), "")</f>
        <v/>
      </c>
      <c r="AZ42" s="551" t="str">
        <f t="shared" si="17"/>
        <v/>
      </c>
      <c r="BA42" s="555" t="str">
        <f t="shared" si="6"/>
        <v>入力済</v>
      </c>
      <c r="BB42" s="534" t="str">
        <f>IFERROR(VLOOKUP(K42,【参考】数式用!$AX$3:$AY$59, 2, FALSE), "")</f>
        <v/>
      </c>
      <c r="BC42" s="551" t="str">
        <f t="shared" si="18"/>
        <v/>
      </c>
      <c r="BD42" s="555" t="str">
        <f t="shared" si="7"/>
        <v>入力済</v>
      </c>
      <c r="BE42" s="555" t="str">
        <f t="shared" si="19"/>
        <v/>
      </c>
      <c r="BF42" s="555" t="str">
        <f t="shared" si="20"/>
        <v/>
      </c>
      <c r="BG42" s="555" t="str">
        <f t="shared" si="21"/>
        <v/>
      </c>
      <c r="BH42" s="555" t="str">
        <f t="shared" si="8"/>
        <v/>
      </c>
      <c r="BI42" s="555" t="str">
        <f t="shared" si="9"/>
        <v/>
      </c>
      <c r="BL42" t="str">
        <f t="shared" si="22"/>
        <v/>
      </c>
      <c r="BM42" t="str">
        <f t="shared" si="23"/>
        <v/>
      </c>
      <c r="BN42" t="str">
        <f t="shared" si="24"/>
        <v/>
      </c>
      <c r="BO42" s="562" t="str">
        <f>IF(BN42="対象",ROUNDDOWN(L42*VLOOKUP(K42,【参考】数式用!$A$4:$J$42,10,FALSE)*AA42,0),"")</f>
        <v/>
      </c>
      <c r="BP42" t="str">
        <f t="shared" si="25"/>
        <v/>
      </c>
    </row>
    <row r="43" spans="1:68" ht="109.95" customHeight="1" thickBot="1">
      <c r="A43" s="306">
        <v>30</v>
      </c>
      <c r="B43" s="646" t="str">
        <f>IF(基本情報入力シート!B65="","",基本情報入力シート!B65)</f>
        <v/>
      </c>
      <c r="C43" s="647"/>
      <c r="D43" s="647"/>
      <c r="E43" s="647"/>
      <c r="F43" s="648"/>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53" t="str">
        <f>IF(基本情報入力シート!AF65=0, "",基本情報入力シート!AF65)</f>
        <v/>
      </c>
      <c r="M43" s="519" t="str">
        <f>IF('別紙様式2-2（個票（４、５月））'!M43="","",'別紙様式2-2（個票（４、５月））'!M43)</f>
        <v/>
      </c>
      <c r="N43" s="518" t="str">
        <f>IF('別紙様式2-2（個票（４、５月））'!N43="","",'別紙様式2-2（個票（４、５月））'!N43)</f>
        <v/>
      </c>
      <c r="O43" s="289"/>
      <c r="P43" s="549" t="str">
        <f>IFERROR(VLOOKUP(K43,【参考】数式用!$A$2:$M$57,MATCH(O43,【参考】数式用!$G$3:$M$3,0)+6,0),"")</f>
        <v/>
      </c>
      <c r="Q43" s="313" t="s">
        <v>113</v>
      </c>
      <c r="R43" s="311"/>
      <c r="S43" s="312" t="s">
        <v>178</v>
      </c>
      <c r="T43" s="311"/>
      <c r="U43" s="312" t="s">
        <v>179</v>
      </c>
      <c r="V43" s="311"/>
      <c r="W43" s="312" t="s">
        <v>178</v>
      </c>
      <c r="X43" s="311"/>
      <c r="Y43" s="312" t="s">
        <v>180</v>
      </c>
      <c r="Z43" s="312" t="s">
        <v>181</v>
      </c>
      <c r="AA43" s="312" t="str">
        <f t="shared" ref="AA43:AA79" si="27">IF(R43&gt;=1,(V43*12+X43)-(R43*12+T43)+1,"")</f>
        <v/>
      </c>
      <c r="AB43" s="308" t="s">
        <v>182</v>
      </c>
      <c r="AC43" s="309" t="str">
        <f t="shared" si="11"/>
        <v/>
      </c>
      <c r="AD43" s="510" t="str">
        <f t="shared" si="12"/>
        <v/>
      </c>
      <c r="AE43" s="310" t="str">
        <f>IFERROR(ROUNDDOWN(ROUNDDOWN(ROUND(L43*VLOOKUP(K43,【参考】数式用!$A$2:$M$57,MATCH("処遇改善加算Ⅳ",【参考】数式用!$G$3:$M$3,0)+6,0),0),0)*AA43*0.5,0), "")</f>
        <v/>
      </c>
      <c r="AF43" s="321"/>
      <c r="AG43" s="322"/>
      <c r="AH43" s="322"/>
      <c r="AI43" s="321"/>
      <c r="AJ43" s="323"/>
      <c r="AK43" s="329"/>
      <c r="AL43" s="327" t="str">
        <f t="shared" si="0"/>
        <v/>
      </c>
      <c r="AM43" s="328" t="str">
        <f t="shared" si="13"/>
        <v/>
      </c>
      <c r="AN43" s="258"/>
      <c r="AO43" s="551" t="str">
        <f>IFERROR(VLOOKUP(K43,【参考】数式用!$A$2:$N$57,14,FALSE),"")</f>
        <v/>
      </c>
      <c r="AP43" s="551" t="str">
        <f t="shared" si="14"/>
        <v/>
      </c>
      <c r="AQ43" s="556" t="str">
        <f t="shared" si="1"/>
        <v/>
      </c>
      <c r="AR43" s="556" t="str">
        <f t="shared" si="26"/>
        <v>キャリアパス要件Ⅰ・Ⅱ_</v>
      </c>
      <c r="AS43" s="534" t="str">
        <f t="shared" si="2"/>
        <v>入力済</v>
      </c>
      <c r="AT43" s="551" t="str">
        <f t="shared" si="15"/>
        <v/>
      </c>
      <c r="AU43" s="534" t="str">
        <f t="shared" si="3"/>
        <v>入力済</v>
      </c>
      <c r="AV43" s="534" t="str">
        <f t="shared" si="4"/>
        <v/>
      </c>
      <c r="AW43" s="534" t="str">
        <f t="shared" si="16"/>
        <v/>
      </c>
      <c r="AX43" s="551" t="str">
        <f t="shared" si="5"/>
        <v/>
      </c>
      <c r="AY43" s="534" t="str">
        <f>IFERROR(VLOOKUP(K43,【参考】数式用!$AR$3:$AS$49, 2, FALSE), "")</f>
        <v/>
      </c>
      <c r="AZ43" s="551" t="str">
        <f t="shared" si="17"/>
        <v/>
      </c>
      <c r="BA43" s="555" t="str">
        <f t="shared" si="6"/>
        <v>入力済</v>
      </c>
      <c r="BB43" s="534" t="str">
        <f>IFERROR(VLOOKUP(K43,【参考】数式用!$AX$3:$AY$59, 2, FALSE), "")</f>
        <v/>
      </c>
      <c r="BC43" s="551" t="str">
        <f t="shared" si="18"/>
        <v/>
      </c>
      <c r="BD43" s="555" t="str">
        <f t="shared" si="7"/>
        <v>入力済</v>
      </c>
      <c r="BE43" s="555" t="str">
        <f t="shared" si="19"/>
        <v/>
      </c>
      <c r="BF43" s="555" t="str">
        <f t="shared" si="20"/>
        <v/>
      </c>
      <c r="BG43" s="555" t="str">
        <f t="shared" si="21"/>
        <v/>
      </c>
      <c r="BH43" s="555" t="str">
        <f t="shared" si="8"/>
        <v/>
      </c>
      <c r="BI43" s="555" t="str">
        <f t="shared" si="9"/>
        <v/>
      </c>
      <c r="BL43" t="str">
        <f t="shared" si="22"/>
        <v/>
      </c>
      <c r="BM43" t="str">
        <f t="shared" si="23"/>
        <v/>
      </c>
      <c r="BN43" t="str">
        <f t="shared" si="24"/>
        <v/>
      </c>
      <c r="BO43" s="562" t="str">
        <f>IF(BN43="対象",ROUNDDOWN(L43*VLOOKUP(K43,【参考】数式用!$A$4:$J$42,10,FALSE)*AA43,0),"")</f>
        <v/>
      </c>
      <c r="BP43" t="str">
        <f t="shared" si="25"/>
        <v/>
      </c>
    </row>
    <row r="44" spans="1:68" ht="109.95" customHeight="1" thickBot="1">
      <c r="A44" s="306">
        <v>31</v>
      </c>
      <c r="B44" s="646" t="str">
        <f>IF(基本情報入力シート!B66="","",基本情報入力シート!B66)</f>
        <v/>
      </c>
      <c r="C44" s="647"/>
      <c r="D44" s="647"/>
      <c r="E44" s="647"/>
      <c r="F44" s="648"/>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53" t="str">
        <f>IF(基本情報入力シート!AF66=0, "",基本情報入力シート!AF66)</f>
        <v/>
      </c>
      <c r="M44" s="519" t="str">
        <f>IF('別紙様式2-2（個票（４、５月））'!M44="","",'別紙様式2-2（個票（４、５月））'!M44)</f>
        <v/>
      </c>
      <c r="N44" s="518" t="str">
        <f>IF('別紙様式2-2（個票（４、５月））'!N44="","",'別紙様式2-2（個票（４、５月））'!N44)</f>
        <v/>
      </c>
      <c r="O44" s="289"/>
      <c r="P44" s="549" t="str">
        <f>IFERROR(VLOOKUP(K44,【参考】数式用!$A$2:$M$57,MATCH(O44,【参考】数式用!$G$3:$M$3,0)+6,0),"")</f>
        <v/>
      </c>
      <c r="Q44" s="313" t="s">
        <v>113</v>
      </c>
      <c r="R44" s="311"/>
      <c r="S44" s="312" t="s">
        <v>178</v>
      </c>
      <c r="T44" s="311"/>
      <c r="U44" s="312" t="s">
        <v>179</v>
      </c>
      <c r="V44" s="311"/>
      <c r="W44" s="312" t="s">
        <v>178</v>
      </c>
      <c r="X44" s="311"/>
      <c r="Y44" s="312" t="s">
        <v>115</v>
      </c>
      <c r="Z44" s="312" t="s">
        <v>181</v>
      </c>
      <c r="AA44" s="312" t="str">
        <f t="shared" si="27"/>
        <v/>
      </c>
      <c r="AB44" s="308" t="s">
        <v>182</v>
      </c>
      <c r="AC44" s="309" t="str">
        <f t="shared" si="11"/>
        <v/>
      </c>
      <c r="AD44" s="510" t="str">
        <f t="shared" si="12"/>
        <v/>
      </c>
      <c r="AE44" s="310" t="str">
        <f>IFERROR(ROUNDDOWN(ROUNDDOWN(ROUND(L44*VLOOKUP(K44,【参考】数式用!$A$2:$M$57,MATCH("処遇改善加算Ⅳ",【参考】数式用!$G$3:$M$3,0)+6,0),0),0)*AA44*0.5,0), "")</f>
        <v/>
      </c>
      <c r="AF44" s="321"/>
      <c r="AG44" s="322"/>
      <c r="AH44" s="322"/>
      <c r="AI44" s="321"/>
      <c r="AJ44" s="323"/>
      <c r="AK44" s="329"/>
      <c r="AL44" s="327" t="str">
        <f t="shared" si="0"/>
        <v/>
      </c>
      <c r="AM44" s="328" t="str">
        <f t="shared" si="13"/>
        <v/>
      </c>
      <c r="AN44" s="258"/>
      <c r="AO44" s="551" t="str">
        <f>IFERROR(VLOOKUP(K44,【参考】数式用!$A$2:$N$57,14,FALSE),"")</f>
        <v/>
      </c>
      <c r="AP44" s="551" t="str">
        <f t="shared" si="14"/>
        <v/>
      </c>
      <c r="AQ44" s="556" t="str">
        <f t="shared" si="1"/>
        <v/>
      </c>
      <c r="AR44" s="556" t="str">
        <f t="shared" si="26"/>
        <v>キャリアパス要件Ⅰ・Ⅱ_</v>
      </c>
      <c r="AS44" s="534" t="str">
        <f t="shared" si="2"/>
        <v>入力済</v>
      </c>
      <c r="AT44" s="551" t="str">
        <f t="shared" si="15"/>
        <v/>
      </c>
      <c r="AU44" s="534" t="str">
        <f t="shared" si="3"/>
        <v>入力済</v>
      </c>
      <c r="AV44" s="534" t="str">
        <f t="shared" si="4"/>
        <v/>
      </c>
      <c r="AW44" s="534" t="str">
        <f t="shared" si="16"/>
        <v/>
      </c>
      <c r="AX44" s="551" t="str">
        <f t="shared" si="5"/>
        <v/>
      </c>
      <c r="AY44" s="534" t="str">
        <f>IFERROR(VLOOKUP(K44,【参考】数式用!$AR$3:$AS$49, 2, FALSE), "")</f>
        <v/>
      </c>
      <c r="AZ44" s="551" t="str">
        <f t="shared" si="17"/>
        <v/>
      </c>
      <c r="BA44" s="555" t="str">
        <f t="shared" si="6"/>
        <v>入力済</v>
      </c>
      <c r="BB44" s="534" t="str">
        <f>IFERROR(VLOOKUP(K44,【参考】数式用!$AX$3:$AY$59, 2, FALSE), "")</f>
        <v/>
      </c>
      <c r="BC44" s="551" t="str">
        <f t="shared" si="18"/>
        <v/>
      </c>
      <c r="BD44" s="555" t="str">
        <f t="shared" si="7"/>
        <v>入力済</v>
      </c>
      <c r="BE44" s="555" t="str">
        <f t="shared" si="19"/>
        <v/>
      </c>
      <c r="BF44" s="555" t="str">
        <f t="shared" si="20"/>
        <v/>
      </c>
      <c r="BG44" s="555" t="str">
        <f t="shared" si="21"/>
        <v/>
      </c>
      <c r="BH44" s="555" t="str">
        <f t="shared" si="8"/>
        <v/>
      </c>
      <c r="BI44" s="555" t="str">
        <f t="shared" si="9"/>
        <v/>
      </c>
      <c r="BL44" t="str">
        <f t="shared" si="22"/>
        <v/>
      </c>
      <c r="BM44" t="str">
        <f t="shared" si="23"/>
        <v/>
      </c>
      <c r="BN44" t="str">
        <f t="shared" si="24"/>
        <v/>
      </c>
      <c r="BO44" s="562" t="str">
        <f>IF(BN44="対象",ROUNDDOWN(L44*VLOOKUP(K44,【参考】数式用!$A$4:$J$42,10,FALSE)*AA44,0),"")</f>
        <v/>
      </c>
      <c r="BP44" t="str">
        <f t="shared" si="25"/>
        <v/>
      </c>
    </row>
    <row r="45" spans="1:68" ht="109.95" customHeight="1" thickBot="1">
      <c r="A45" s="306">
        <v>32</v>
      </c>
      <c r="B45" s="646" t="str">
        <f>IF(基本情報入力シート!B67="","",基本情報入力シート!B67)</f>
        <v/>
      </c>
      <c r="C45" s="647"/>
      <c r="D45" s="647"/>
      <c r="E45" s="647"/>
      <c r="F45" s="648"/>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53" t="str">
        <f>IF(基本情報入力シート!AF67=0, "",基本情報入力シート!AF67)</f>
        <v/>
      </c>
      <c r="M45" s="519" t="str">
        <f>IF('別紙様式2-2（個票（４、５月））'!M45="","",'別紙様式2-2（個票（４、５月））'!M45)</f>
        <v/>
      </c>
      <c r="N45" s="518" t="str">
        <f>IF('別紙様式2-2（個票（４、５月））'!N45="","",'別紙様式2-2（個票（４、５月））'!N45)</f>
        <v/>
      </c>
      <c r="O45" s="289"/>
      <c r="P45" s="549" t="str">
        <f>IFERROR(VLOOKUP(K45,【参考】数式用!$A$2:$M$57,MATCH(O45,【参考】数式用!$G$3:$M$3,0)+6,0),"")</f>
        <v/>
      </c>
      <c r="Q45" s="313" t="s">
        <v>113</v>
      </c>
      <c r="R45" s="311"/>
      <c r="S45" s="312" t="s">
        <v>178</v>
      </c>
      <c r="T45" s="311"/>
      <c r="U45" s="312" t="s">
        <v>179</v>
      </c>
      <c r="V45" s="311"/>
      <c r="W45" s="312" t="s">
        <v>178</v>
      </c>
      <c r="X45" s="311"/>
      <c r="Y45" s="312" t="s">
        <v>115</v>
      </c>
      <c r="Z45" s="312" t="s">
        <v>181</v>
      </c>
      <c r="AA45" s="312" t="str">
        <f t="shared" si="27"/>
        <v/>
      </c>
      <c r="AB45" s="308" t="s">
        <v>182</v>
      </c>
      <c r="AC45" s="309" t="str">
        <f t="shared" si="11"/>
        <v/>
      </c>
      <c r="AD45" s="510" t="str">
        <f t="shared" si="12"/>
        <v/>
      </c>
      <c r="AE45" s="310" t="str">
        <f>IFERROR(ROUNDDOWN(ROUNDDOWN(ROUND(L45*VLOOKUP(K45,【参考】数式用!$A$2:$M$57,MATCH("処遇改善加算Ⅳ",【参考】数式用!$G$3:$M$3,0)+6,0),0),0)*AA45*0.5,0), "")</f>
        <v/>
      </c>
      <c r="AF45" s="321"/>
      <c r="AG45" s="322"/>
      <c r="AH45" s="322"/>
      <c r="AI45" s="321"/>
      <c r="AJ45" s="323"/>
      <c r="AK45" s="329"/>
      <c r="AL45" s="327"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8" t="str">
        <f t="shared" si="13"/>
        <v/>
      </c>
      <c r="AN45" s="258"/>
      <c r="AO45" s="551" t="str">
        <f>IFERROR(VLOOKUP(K45,【参考】数式用!$A$2:$N$57,14,FALSE),"")</f>
        <v/>
      </c>
      <c r="AP45" s="551" t="str">
        <f t="shared" si="14"/>
        <v/>
      </c>
      <c r="AQ45" s="556" t="str">
        <f t="shared" ref="AQ45:AQ76" si="29">IF(AND(AE45&lt;&gt;0,AE45&lt;&gt;"",AO45="加算対象"),IF(AF45="○","入力済","未入力"),"")</f>
        <v/>
      </c>
      <c r="AR45" s="556" t="str">
        <f t="shared" si="26"/>
        <v>キャリアパス要件Ⅰ・Ⅱ_</v>
      </c>
      <c r="AS45" s="534" t="str">
        <f t="shared" ref="AS45:AS76" si="30">IF(AND(O45&lt;&gt;"", AG45=""), "未入力", "入力済")</f>
        <v>入力済</v>
      </c>
      <c r="AT45" s="551" t="str">
        <f t="shared" si="15"/>
        <v/>
      </c>
      <c r="AU45" s="534" t="str">
        <f t="shared" ref="AU45:AU76" si="31">IF(AND(O45&lt;&gt;"", O45&lt;&gt;"処遇改善加算Ⅳ",O45&lt;&gt;"処遇改善加算", AH45=""), "未入力", "入力済")</f>
        <v>入力済</v>
      </c>
      <c r="AV45" s="534" t="str">
        <f t="shared" ref="AV45:AV76" si="32">IF(OR(ISNUMBER(SEARCH("処遇改善加算Ⅰ",O45)),ISNUMBER(SEARCH("処遇改善加算Ⅱ",O45))),"対象","")</f>
        <v/>
      </c>
      <c r="AW45" s="534" t="str">
        <f t="shared" si="16"/>
        <v/>
      </c>
      <c r="AX45" s="551" t="str">
        <f t="shared" ref="AX45:AX76" si="33">IF(AND(AW45=1, OR(AI45=0,AI45=""),AO45="加算対象"),"AH列に色付け","")</f>
        <v/>
      </c>
      <c r="AY45" s="534" t="str">
        <f>IFERROR(VLOOKUP(K45,【参考】数式用!$AR$3:$AS$49, 2, FALSE), "")</f>
        <v/>
      </c>
      <c r="AZ45" s="551" t="str">
        <f t="shared" si="17"/>
        <v/>
      </c>
      <c r="BA45" s="555" t="str">
        <f t="shared" ref="BA45:BA76" si="34">IF(AND(OR(O45="処遇改善加算Ⅰイ",O45="処遇改善加算Ⅰロ"), AJ45=""), "未入力","入力済")</f>
        <v>入力済</v>
      </c>
      <c r="BB45" s="534" t="str">
        <f>IFERROR(VLOOKUP(K45,【参考】数式用!$AX$3:$AY$59, 2, FALSE), "")</f>
        <v/>
      </c>
      <c r="BC45" s="551" t="str">
        <f t="shared" si="18"/>
        <v/>
      </c>
      <c r="BD45" s="555" t="str">
        <f t="shared" ref="BD45:BD76" si="35">IF(AND(COUNTIF(AG45:AI45,"*令和８年度特例要件を*")&gt;0,AK45=""), "未入力","入力済")</f>
        <v>入力済</v>
      </c>
      <c r="BE45" s="555" t="str">
        <f t="shared" si="19"/>
        <v/>
      </c>
      <c r="BF45" s="555" t="str">
        <f t="shared" si="20"/>
        <v/>
      </c>
      <c r="BG45" s="555" t="str">
        <f t="shared" si="21"/>
        <v/>
      </c>
      <c r="BH45" s="555" t="str">
        <f t="shared" ref="BH45:BH76" si="36">IF(AND(BE45="",BG45="入力必要"),IF(AK45="","未入力","入力済"),"")</f>
        <v/>
      </c>
      <c r="BI45" s="555" t="str">
        <f t="shared" ref="BI45:BI76" si="37">G45</f>
        <v/>
      </c>
      <c r="BL45" t="str">
        <f t="shared" si="22"/>
        <v/>
      </c>
      <c r="BM45" t="str">
        <f t="shared" si="23"/>
        <v/>
      </c>
      <c r="BN45" t="str">
        <f t="shared" si="24"/>
        <v/>
      </c>
      <c r="BO45" s="562" t="str">
        <f>IF(BN45="対象",ROUNDDOWN(L45*VLOOKUP(K45,【参考】数式用!$A$4:$J$42,10,FALSE)*AA45,0),"")</f>
        <v/>
      </c>
      <c r="BP45" t="str">
        <f t="shared" si="25"/>
        <v/>
      </c>
    </row>
    <row r="46" spans="1:68" ht="109.95" customHeight="1" thickBot="1">
      <c r="A46" s="306">
        <v>33</v>
      </c>
      <c r="B46" s="646" t="str">
        <f>IF(基本情報入力シート!B68="","",基本情報入力シート!B68)</f>
        <v/>
      </c>
      <c r="C46" s="647"/>
      <c r="D46" s="647"/>
      <c r="E46" s="647"/>
      <c r="F46" s="648"/>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53" t="str">
        <f>IF(基本情報入力シート!AF68=0, "",基本情報入力シート!AF68)</f>
        <v/>
      </c>
      <c r="M46" s="519" t="str">
        <f>IF('別紙様式2-2（個票（４、５月））'!M46="","",'別紙様式2-2（個票（４、５月））'!M46)</f>
        <v/>
      </c>
      <c r="N46" s="518" t="str">
        <f>IF('別紙様式2-2（個票（４、５月））'!N46="","",'別紙様式2-2（個票（４、５月））'!N46)</f>
        <v/>
      </c>
      <c r="O46" s="289"/>
      <c r="P46" s="549" t="str">
        <f>IFERROR(VLOOKUP(K46,【参考】数式用!$A$2:$M$57,MATCH(O46,【参考】数式用!$G$3:$M$3,0)+6,0),"")</f>
        <v/>
      </c>
      <c r="Q46" s="313" t="s">
        <v>113</v>
      </c>
      <c r="R46" s="311"/>
      <c r="S46" s="312" t="s">
        <v>178</v>
      </c>
      <c r="T46" s="311"/>
      <c r="U46" s="312" t="s">
        <v>179</v>
      </c>
      <c r="V46" s="311"/>
      <c r="W46" s="312" t="s">
        <v>178</v>
      </c>
      <c r="X46" s="311"/>
      <c r="Y46" s="312" t="s">
        <v>180</v>
      </c>
      <c r="Z46" s="312" t="s">
        <v>181</v>
      </c>
      <c r="AA46" s="312" t="str">
        <f t="shared" si="27"/>
        <v/>
      </c>
      <c r="AB46" s="308" t="s">
        <v>182</v>
      </c>
      <c r="AC46" s="309" t="str">
        <f t="shared" si="11"/>
        <v/>
      </c>
      <c r="AD46" s="510" t="str">
        <f t="shared" si="12"/>
        <v/>
      </c>
      <c r="AE46" s="310" t="str">
        <f>IFERROR(ROUNDDOWN(ROUNDDOWN(ROUND(L46*VLOOKUP(K46,【参考】数式用!$A$2:$M$57,MATCH("処遇改善加算Ⅳ",【参考】数式用!$G$3:$M$3,0)+6,0),0),0)*AA46*0.5,0), "")</f>
        <v/>
      </c>
      <c r="AF46" s="321"/>
      <c r="AG46" s="322"/>
      <c r="AH46" s="322"/>
      <c r="AI46" s="321"/>
      <c r="AJ46" s="323"/>
      <c r="AK46" s="329"/>
      <c r="AL46" s="327" t="str">
        <f t="shared" si="28"/>
        <v/>
      </c>
      <c r="AM46" s="328" t="str">
        <f t="shared" si="13"/>
        <v/>
      </c>
      <c r="AN46" s="258"/>
      <c r="AO46" s="551" t="str">
        <f>IFERROR(VLOOKUP(K46,【参考】数式用!$A$2:$N$57,14,FALSE),"")</f>
        <v/>
      </c>
      <c r="AP46" s="551" t="str">
        <f t="shared" si="14"/>
        <v/>
      </c>
      <c r="AQ46" s="556" t="str">
        <f t="shared" si="29"/>
        <v/>
      </c>
      <c r="AR46" s="556" t="str">
        <f t="shared" si="26"/>
        <v>キャリアパス要件Ⅰ・Ⅱ_</v>
      </c>
      <c r="AS46" s="534" t="str">
        <f t="shared" si="30"/>
        <v>入力済</v>
      </c>
      <c r="AT46" s="551" t="str">
        <f t="shared" si="15"/>
        <v/>
      </c>
      <c r="AU46" s="534" t="str">
        <f t="shared" si="31"/>
        <v>入力済</v>
      </c>
      <c r="AV46" s="534" t="str">
        <f t="shared" si="32"/>
        <v/>
      </c>
      <c r="AW46" s="534" t="str">
        <f t="shared" si="16"/>
        <v/>
      </c>
      <c r="AX46" s="551" t="str">
        <f t="shared" si="33"/>
        <v/>
      </c>
      <c r="AY46" s="534" t="str">
        <f>IFERROR(VLOOKUP(K46,【参考】数式用!$AR$3:$AS$49, 2, FALSE), "")</f>
        <v/>
      </c>
      <c r="AZ46" s="551" t="str">
        <f t="shared" si="17"/>
        <v/>
      </c>
      <c r="BA46" s="555" t="str">
        <f t="shared" si="34"/>
        <v>入力済</v>
      </c>
      <c r="BB46" s="534" t="str">
        <f>IFERROR(VLOOKUP(K46,【参考】数式用!$AX$3:$AY$59, 2, FALSE), "")</f>
        <v/>
      </c>
      <c r="BC46" s="551" t="str">
        <f t="shared" si="18"/>
        <v/>
      </c>
      <c r="BD46" s="555" t="str">
        <f t="shared" si="35"/>
        <v>入力済</v>
      </c>
      <c r="BE46" s="555" t="str">
        <f t="shared" si="19"/>
        <v/>
      </c>
      <c r="BF46" s="555" t="str">
        <f t="shared" si="20"/>
        <v/>
      </c>
      <c r="BG46" s="555" t="str">
        <f t="shared" si="21"/>
        <v/>
      </c>
      <c r="BH46" s="555" t="str">
        <f t="shared" si="36"/>
        <v/>
      </c>
      <c r="BI46" s="555" t="str">
        <f t="shared" si="37"/>
        <v/>
      </c>
      <c r="BL46" t="str">
        <f t="shared" si="22"/>
        <v/>
      </c>
      <c r="BM46" t="str">
        <f t="shared" si="23"/>
        <v/>
      </c>
      <c r="BN46" t="str">
        <f t="shared" si="24"/>
        <v/>
      </c>
      <c r="BO46" s="562" t="str">
        <f>IF(BN46="対象",ROUNDDOWN(L46*VLOOKUP(K46,【参考】数式用!$A$4:$J$42,10,FALSE)*AA46,0),"")</f>
        <v/>
      </c>
      <c r="BP46" t="str">
        <f t="shared" si="25"/>
        <v/>
      </c>
    </row>
    <row r="47" spans="1:68" ht="109.95" customHeight="1" thickBot="1">
      <c r="A47" s="306">
        <v>34</v>
      </c>
      <c r="B47" s="646" t="str">
        <f>IF(基本情報入力シート!B69="","",基本情報入力シート!B69)</f>
        <v/>
      </c>
      <c r="C47" s="647"/>
      <c r="D47" s="647"/>
      <c r="E47" s="647"/>
      <c r="F47" s="648"/>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53" t="str">
        <f>IF(基本情報入力シート!AF69=0, "",基本情報入力シート!AF69)</f>
        <v/>
      </c>
      <c r="M47" s="519" t="str">
        <f>IF('別紙様式2-2（個票（４、５月））'!M47="","",'別紙様式2-2（個票（４、５月））'!M47)</f>
        <v/>
      </c>
      <c r="N47" s="518" t="str">
        <f>IF('別紙様式2-2（個票（４、５月））'!N47="","",'別紙様式2-2（個票（４、５月））'!N47)</f>
        <v/>
      </c>
      <c r="O47" s="289"/>
      <c r="P47" s="549" t="str">
        <f>IFERROR(VLOOKUP(K47,【参考】数式用!$A$2:$M$57,MATCH(O47,【参考】数式用!$G$3:$M$3,0)+6,0),"")</f>
        <v/>
      </c>
      <c r="Q47" s="313" t="s">
        <v>113</v>
      </c>
      <c r="R47" s="311"/>
      <c r="S47" s="312" t="s">
        <v>178</v>
      </c>
      <c r="T47" s="311"/>
      <c r="U47" s="312" t="s">
        <v>179</v>
      </c>
      <c r="V47" s="311"/>
      <c r="W47" s="312" t="s">
        <v>178</v>
      </c>
      <c r="X47" s="311"/>
      <c r="Y47" s="312" t="s">
        <v>180</v>
      </c>
      <c r="Z47" s="312" t="s">
        <v>181</v>
      </c>
      <c r="AA47" s="312" t="str">
        <f t="shared" si="27"/>
        <v/>
      </c>
      <c r="AB47" s="308" t="s">
        <v>182</v>
      </c>
      <c r="AC47" s="309" t="str">
        <f t="shared" si="11"/>
        <v/>
      </c>
      <c r="AD47" s="510" t="str">
        <f t="shared" si="12"/>
        <v/>
      </c>
      <c r="AE47" s="310" t="str">
        <f>IFERROR(ROUNDDOWN(ROUNDDOWN(ROUND(L47*VLOOKUP(K47,【参考】数式用!$A$2:$M$57,MATCH("処遇改善加算Ⅳ",【参考】数式用!$G$3:$M$3,0)+6,0),0),0)*AA47*0.5,0), "")</f>
        <v/>
      </c>
      <c r="AF47" s="321"/>
      <c r="AG47" s="322"/>
      <c r="AH47" s="322"/>
      <c r="AI47" s="321"/>
      <c r="AJ47" s="323"/>
      <c r="AK47" s="329"/>
      <c r="AL47" s="327" t="str">
        <f t="shared" si="28"/>
        <v/>
      </c>
      <c r="AM47" s="328" t="str">
        <f t="shared" si="13"/>
        <v/>
      </c>
      <c r="AN47" s="258"/>
      <c r="AO47" s="551" t="str">
        <f>IFERROR(VLOOKUP(K47,【参考】数式用!$A$2:$N$57,14,FALSE),"")</f>
        <v/>
      </c>
      <c r="AP47" s="551" t="str">
        <f t="shared" si="14"/>
        <v/>
      </c>
      <c r="AQ47" s="556" t="str">
        <f t="shared" si="29"/>
        <v/>
      </c>
      <c r="AR47" s="556" t="str">
        <f t="shared" si="26"/>
        <v>キャリアパス要件Ⅰ・Ⅱ_</v>
      </c>
      <c r="AS47" s="534" t="str">
        <f t="shared" si="30"/>
        <v>入力済</v>
      </c>
      <c r="AT47" s="551" t="str">
        <f t="shared" si="15"/>
        <v/>
      </c>
      <c r="AU47" s="534" t="str">
        <f t="shared" si="31"/>
        <v>入力済</v>
      </c>
      <c r="AV47" s="534" t="str">
        <f t="shared" si="32"/>
        <v/>
      </c>
      <c r="AW47" s="534" t="str">
        <f t="shared" si="16"/>
        <v/>
      </c>
      <c r="AX47" s="551" t="str">
        <f t="shared" si="33"/>
        <v/>
      </c>
      <c r="AY47" s="534" t="str">
        <f>IFERROR(VLOOKUP(K47,【参考】数式用!$AR$3:$AS$49, 2, FALSE), "")</f>
        <v/>
      </c>
      <c r="AZ47" s="551" t="str">
        <f t="shared" si="17"/>
        <v/>
      </c>
      <c r="BA47" s="555" t="str">
        <f t="shared" si="34"/>
        <v>入力済</v>
      </c>
      <c r="BB47" s="534" t="str">
        <f>IFERROR(VLOOKUP(K47,【参考】数式用!$AX$3:$AY$59, 2, FALSE), "")</f>
        <v/>
      </c>
      <c r="BC47" s="551" t="str">
        <f t="shared" si="18"/>
        <v/>
      </c>
      <c r="BD47" s="555" t="str">
        <f t="shared" si="35"/>
        <v>入力済</v>
      </c>
      <c r="BE47" s="555" t="str">
        <f t="shared" si="19"/>
        <v/>
      </c>
      <c r="BF47" s="555" t="str">
        <f t="shared" si="20"/>
        <v/>
      </c>
      <c r="BG47" s="555" t="str">
        <f t="shared" si="21"/>
        <v/>
      </c>
      <c r="BH47" s="555" t="str">
        <f t="shared" si="36"/>
        <v/>
      </c>
      <c r="BI47" s="555" t="str">
        <f t="shared" si="37"/>
        <v/>
      </c>
      <c r="BL47" t="str">
        <f t="shared" si="22"/>
        <v/>
      </c>
      <c r="BM47" t="str">
        <f t="shared" si="23"/>
        <v/>
      </c>
      <c r="BN47" t="str">
        <f t="shared" si="24"/>
        <v/>
      </c>
      <c r="BO47" s="562" t="str">
        <f>IF(BN47="対象",ROUNDDOWN(L47*VLOOKUP(K47,【参考】数式用!$A$4:$J$42,10,FALSE)*AA47,0),"")</f>
        <v/>
      </c>
      <c r="BP47" t="str">
        <f t="shared" si="25"/>
        <v/>
      </c>
    </row>
    <row r="48" spans="1:68" ht="109.95" customHeight="1" thickBot="1">
      <c r="A48" s="306">
        <v>35</v>
      </c>
      <c r="B48" s="646" t="str">
        <f>IF(基本情報入力シート!B70="","",基本情報入力シート!B70)</f>
        <v/>
      </c>
      <c r="C48" s="647"/>
      <c r="D48" s="647"/>
      <c r="E48" s="647"/>
      <c r="F48" s="648"/>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53" t="str">
        <f>IF(基本情報入力シート!AF70=0, "",基本情報入力シート!AF70)</f>
        <v/>
      </c>
      <c r="M48" s="519" t="str">
        <f>IF('別紙様式2-2（個票（４、５月））'!M48="","",'別紙様式2-2（個票（４、５月））'!M48)</f>
        <v/>
      </c>
      <c r="N48" s="518" t="str">
        <f>IF('別紙様式2-2（個票（４、５月））'!N48="","",'別紙様式2-2（個票（４、５月））'!N48)</f>
        <v/>
      </c>
      <c r="O48" s="289"/>
      <c r="P48" s="549" t="str">
        <f>IFERROR(VLOOKUP(K48,【参考】数式用!$A$2:$M$57,MATCH(O48,【参考】数式用!$G$3:$M$3,0)+6,0),"")</f>
        <v/>
      </c>
      <c r="Q48" s="313" t="s">
        <v>113</v>
      </c>
      <c r="R48" s="311"/>
      <c r="S48" s="312" t="s">
        <v>178</v>
      </c>
      <c r="T48" s="311"/>
      <c r="U48" s="312" t="s">
        <v>179</v>
      </c>
      <c r="V48" s="311"/>
      <c r="W48" s="312" t="s">
        <v>178</v>
      </c>
      <c r="X48" s="311"/>
      <c r="Y48" s="312" t="s">
        <v>180</v>
      </c>
      <c r="Z48" s="312" t="s">
        <v>181</v>
      </c>
      <c r="AA48" s="312" t="str">
        <f t="shared" si="27"/>
        <v/>
      </c>
      <c r="AB48" s="308" t="s">
        <v>182</v>
      </c>
      <c r="AC48" s="309" t="str">
        <f t="shared" si="11"/>
        <v/>
      </c>
      <c r="AD48" s="510" t="str">
        <f t="shared" si="12"/>
        <v/>
      </c>
      <c r="AE48" s="310" t="str">
        <f>IFERROR(ROUNDDOWN(ROUNDDOWN(ROUND(L48*VLOOKUP(K48,【参考】数式用!$A$2:$M$57,MATCH("処遇改善加算Ⅳ",【参考】数式用!$G$3:$M$3,0)+6,0),0),0)*AA48*0.5,0), "")</f>
        <v/>
      </c>
      <c r="AF48" s="321"/>
      <c r="AG48" s="322"/>
      <c r="AH48" s="322"/>
      <c r="AI48" s="321"/>
      <c r="AJ48" s="323"/>
      <c r="AK48" s="329"/>
      <c r="AL48" s="327" t="str">
        <f t="shared" si="28"/>
        <v/>
      </c>
      <c r="AM48" s="328" t="str">
        <f t="shared" si="13"/>
        <v/>
      </c>
      <c r="AN48" s="258"/>
      <c r="AO48" s="551" t="str">
        <f>IFERROR(VLOOKUP(K48,【参考】数式用!$A$2:$N$57,14,FALSE),"")</f>
        <v/>
      </c>
      <c r="AP48" s="551" t="str">
        <f t="shared" si="14"/>
        <v/>
      </c>
      <c r="AQ48" s="556" t="str">
        <f t="shared" si="29"/>
        <v/>
      </c>
      <c r="AR48" s="556" t="str">
        <f t="shared" si="26"/>
        <v>キャリアパス要件Ⅰ・Ⅱ_</v>
      </c>
      <c r="AS48" s="534" t="str">
        <f t="shared" si="30"/>
        <v>入力済</v>
      </c>
      <c r="AT48" s="551" t="str">
        <f t="shared" si="15"/>
        <v/>
      </c>
      <c r="AU48" s="534" t="str">
        <f t="shared" si="31"/>
        <v>入力済</v>
      </c>
      <c r="AV48" s="534" t="str">
        <f t="shared" si="32"/>
        <v/>
      </c>
      <c r="AW48" s="534" t="str">
        <f t="shared" si="16"/>
        <v/>
      </c>
      <c r="AX48" s="551" t="str">
        <f t="shared" si="33"/>
        <v/>
      </c>
      <c r="AY48" s="534" t="str">
        <f>IFERROR(VLOOKUP(K48,【参考】数式用!$AR$3:$AS$49, 2, FALSE), "")</f>
        <v/>
      </c>
      <c r="AZ48" s="551" t="str">
        <f t="shared" si="17"/>
        <v/>
      </c>
      <c r="BA48" s="555" t="str">
        <f t="shared" si="34"/>
        <v>入力済</v>
      </c>
      <c r="BB48" s="534" t="str">
        <f>IFERROR(VLOOKUP(K48,【参考】数式用!$AX$3:$AY$59, 2, FALSE), "")</f>
        <v/>
      </c>
      <c r="BC48" s="551" t="str">
        <f t="shared" si="18"/>
        <v/>
      </c>
      <c r="BD48" s="555" t="str">
        <f t="shared" si="35"/>
        <v>入力済</v>
      </c>
      <c r="BE48" s="555" t="str">
        <f t="shared" si="19"/>
        <v/>
      </c>
      <c r="BF48" s="555" t="str">
        <f t="shared" si="20"/>
        <v/>
      </c>
      <c r="BG48" s="555" t="str">
        <f t="shared" si="21"/>
        <v/>
      </c>
      <c r="BH48" s="555" t="str">
        <f t="shared" si="36"/>
        <v/>
      </c>
      <c r="BI48" s="555" t="str">
        <f t="shared" si="37"/>
        <v/>
      </c>
      <c r="BL48" t="str">
        <f t="shared" si="22"/>
        <v/>
      </c>
      <c r="BM48" t="str">
        <f t="shared" si="23"/>
        <v/>
      </c>
      <c r="BN48" t="str">
        <f t="shared" si="24"/>
        <v/>
      </c>
      <c r="BO48" s="562" t="str">
        <f>IF(BN48="対象",ROUNDDOWN(L48*VLOOKUP(K48,【参考】数式用!$A$4:$J$42,10,FALSE)*AA48,0),"")</f>
        <v/>
      </c>
      <c r="BP48" t="str">
        <f t="shared" si="25"/>
        <v/>
      </c>
    </row>
    <row r="49" spans="1:68" ht="109.95" customHeight="1" thickBot="1">
      <c r="A49" s="306">
        <v>36</v>
      </c>
      <c r="B49" s="646" t="str">
        <f>IF(基本情報入力シート!B71="","",基本情報入力シート!B71)</f>
        <v/>
      </c>
      <c r="C49" s="647"/>
      <c r="D49" s="647"/>
      <c r="E49" s="647"/>
      <c r="F49" s="648"/>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53" t="str">
        <f>IF(基本情報入力シート!AF71=0, "",基本情報入力シート!AF71)</f>
        <v/>
      </c>
      <c r="M49" s="519" t="str">
        <f>IF('別紙様式2-2（個票（４、５月））'!M49="","",'別紙様式2-2（個票（４、５月））'!M49)</f>
        <v/>
      </c>
      <c r="N49" s="518" t="str">
        <f>IF('別紙様式2-2（個票（４、５月））'!N49="","",'別紙様式2-2（個票（４、５月））'!N49)</f>
        <v/>
      </c>
      <c r="O49" s="289"/>
      <c r="P49" s="549" t="str">
        <f>IFERROR(VLOOKUP(K49,【参考】数式用!$A$2:$M$57,MATCH(O49,【参考】数式用!$G$3:$M$3,0)+6,0),"")</f>
        <v/>
      </c>
      <c r="Q49" s="313" t="s">
        <v>113</v>
      </c>
      <c r="R49" s="311"/>
      <c r="S49" s="312" t="s">
        <v>178</v>
      </c>
      <c r="T49" s="311"/>
      <c r="U49" s="312" t="s">
        <v>179</v>
      </c>
      <c r="V49" s="311"/>
      <c r="W49" s="312" t="s">
        <v>178</v>
      </c>
      <c r="X49" s="311"/>
      <c r="Y49" s="312" t="s">
        <v>115</v>
      </c>
      <c r="Z49" s="312" t="s">
        <v>181</v>
      </c>
      <c r="AA49" s="312" t="str">
        <f t="shared" si="27"/>
        <v/>
      </c>
      <c r="AB49" s="308" t="s">
        <v>182</v>
      </c>
      <c r="AC49" s="309" t="str">
        <f t="shared" si="11"/>
        <v/>
      </c>
      <c r="AD49" s="510" t="str">
        <f t="shared" si="12"/>
        <v/>
      </c>
      <c r="AE49" s="310" t="str">
        <f>IFERROR(ROUNDDOWN(ROUNDDOWN(ROUND(L49*VLOOKUP(K49,【参考】数式用!$A$2:$M$57,MATCH("処遇改善加算Ⅳ",【参考】数式用!$G$3:$M$3,0)+6,0),0),0)*AA49*0.5,0), "")</f>
        <v/>
      </c>
      <c r="AF49" s="321"/>
      <c r="AG49" s="322"/>
      <c r="AH49" s="322"/>
      <c r="AI49" s="321"/>
      <c r="AJ49" s="323"/>
      <c r="AK49" s="329"/>
      <c r="AL49" s="327" t="str">
        <f t="shared" si="28"/>
        <v/>
      </c>
      <c r="AM49" s="328" t="str">
        <f t="shared" si="13"/>
        <v/>
      </c>
      <c r="AN49" s="258"/>
      <c r="AO49" s="551" t="str">
        <f>IFERROR(VLOOKUP(K49,【参考】数式用!$A$2:$N$57,14,FALSE),"")</f>
        <v/>
      </c>
      <c r="AP49" s="551" t="str">
        <f t="shared" si="14"/>
        <v/>
      </c>
      <c r="AQ49" s="556" t="str">
        <f t="shared" si="29"/>
        <v/>
      </c>
      <c r="AR49" s="556" t="str">
        <f t="shared" si="26"/>
        <v>キャリアパス要件Ⅰ・Ⅱ_</v>
      </c>
      <c r="AS49" s="534" t="str">
        <f t="shared" si="30"/>
        <v>入力済</v>
      </c>
      <c r="AT49" s="551" t="str">
        <f t="shared" si="15"/>
        <v/>
      </c>
      <c r="AU49" s="534" t="str">
        <f t="shared" si="31"/>
        <v>入力済</v>
      </c>
      <c r="AV49" s="534" t="str">
        <f t="shared" si="32"/>
        <v/>
      </c>
      <c r="AW49" s="534" t="str">
        <f t="shared" si="16"/>
        <v/>
      </c>
      <c r="AX49" s="551" t="str">
        <f t="shared" si="33"/>
        <v/>
      </c>
      <c r="AY49" s="534" t="str">
        <f>IFERROR(VLOOKUP(K49,【参考】数式用!$AR$3:$AS$49, 2, FALSE), "")</f>
        <v/>
      </c>
      <c r="AZ49" s="551" t="str">
        <f t="shared" si="17"/>
        <v/>
      </c>
      <c r="BA49" s="555" t="str">
        <f t="shared" si="34"/>
        <v>入力済</v>
      </c>
      <c r="BB49" s="534" t="str">
        <f>IFERROR(VLOOKUP(K49,【参考】数式用!$AX$3:$AY$59, 2, FALSE), "")</f>
        <v/>
      </c>
      <c r="BC49" s="551" t="str">
        <f t="shared" si="18"/>
        <v/>
      </c>
      <c r="BD49" s="555" t="str">
        <f t="shared" si="35"/>
        <v>入力済</v>
      </c>
      <c r="BE49" s="555" t="str">
        <f t="shared" si="19"/>
        <v/>
      </c>
      <c r="BF49" s="555" t="str">
        <f t="shared" si="20"/>
        <v/>
      </c>
      <c r="BG49" s="555" t="str">
        <f t="shared" si="21"/>
        <v/>
      </c>
      <c r="BH49" s="555" t="str">
        <f t="shared" si="36"/>
        <v/>
      </c>
      <c r="BI49" s="555" t="str">
        <f t="shared" si="37"/>
        <v/>
      </c>
      <c r="BL49" t="str">
        <f t="shared" si="22"/>
        <v/>
      </c>
      <c r="BM49" t="str">
        <f t="shared" si="23"/>
        <v/>
      </c>
      <c r="BN49" t="str">
        <f t="shared" si="24"/>
        <v/>
      </c>
      <c r="BO49" s="562" t="str">
        <f>IF(BN49="対象",ROUNDDOWN(L49*VLOOKUP(K49,【参考】数式用!$A$4:$J$42,10,FALSE)*AA49,0),"")</f>
        <v/>
      </c>
      <c r="BP49" t="str">
        <f t="shared" si="25"/>
        <v/>
      </c>
    </row>
    <row r="50" spans="1:68" ht="109.95" customHeight="1" thickBot="1">
      <c r="A50" s="306">
        <v>37</v>
      </c>
      <c r="B50" s="646" t="str">
        <f>IF(基本情報入力シート!B72="","",基本情報入力シート!B72)</f>
        <v/>
      </c>
      <c r="C50" s="647"/>
      <c r="D50" s="647"/>
      <c r="E50" s="647"/>
      <c r="F50" s="648"/>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53" t="str">
        <f>IF(基本情報入力シート!AF72=0, "",基本情報入力シート!AF72)</f>
        <v/>
      </c>
      <c r="M50" s="519" t="str">
        <f>IF('別紙様式2-2（個票（４、５月））'!M50="","",'別紙様式2-2（個票（４、５月））'!M50)</f>
        <v/>
      </c>
      <c r="N50" s="518" t="str">
        <f>IF('別紙様式2-2（個票（４、５月））'!N50="","",'別紙様式2-2（個票（４、５月））'!N50)</f>
        <v/>
      </c>
      <c r="O50" s="289"/>
      <c r="P50" s="549" t="str">
        <f>IFERROR(VLOOKUP(K50,【参考】数式用!$A$2:$M$57,MATCH(O50,【参考】数式用!$G$3:$M$3,0)+6,0),"")</f>
        <v/>
      </c>
      <c r="Q50" s="313" t="s">
        <v>113</v>
      </c>
      <c r="R50" s="311"/>
      <c r="S50" s="312" t="s">
        <v>178</v>
      </c>
      <c r="T50" s="311"/>
      <c r="U50" s="312" t="s">
        <v>179</v>
      </c>
      <c r="V50" s="311"/>
      <c r="W50" s="312" t="s">
        <v>178</v>
      </c>
      <c r="X50" s="311"/>
      <c r="Y50" s="312" t="s">
        <v>180</v>
      </c>
      <c r="Z50" s="312" t="s">
        <v>181</v>
      </c>
      <c r="AA50" s="312" t="str">
        <f t="shared" si="27"/>
        <v/>
      </c>
      <c r="AB50" s="308" t="s">
        <v>182</v>
      </c>
      <c r="AC50" s="309" t="str">
        <f t="shared" si="11"/>
        <v/>
      </c>
      <c r="AD50" s="510" t="str">
        <f t="shared" si="12"/>
        <v/>
      </c>
      <c r="AE50" s="310" t="str">
        <f>IFERROR(ROUNDDOWN(ROUNDDOWN(ROUND(L50*VLOOKUP(K50,【参考】数式用!$A$2:$M$57,MATCH("処遇改善加算Ⅳ",【参考】数式用!$G$3:$M$3,0)+6,0),0),0)*AA50*0.5,0), "")</f>
        <v/>
      </c>
      <c r="AF50" s="321"/>
      <c r="AG50" s="322"/>
      <c r="AH50" s="322"/>
      <c r="AI50" s="321"/>
      <c r="AJ50" s="323"/>
      <c r="AK50" s="329"/>
      <c r="AL50" s="327" t="str">
        <f t="shared" si="28"/>
        <v/>
      </c>
      <c r="AM50" s="328" t="str">
        <f t="shared" si="13"/>
        <v/>
      </c>
      <c r="AN50" s="258"/>
      <c r="AO50" s="551" t="str">
        <f>IFERROR(VLOOKUP(K50,【参考】数式用!$A$2:$N$57,14,FALSE),"")</f>
        <v/>
      </c>
      <c r="AP50" s="551" t="str">
        <f t="shared" si="14"/>
        <v/>
      </c>
      <c r="AQ50" s="556" t="str">
        <f t="shared" si="29"/>
        <v/>
      </c>
      <c r="AR50" s="556" t="str">
        <f t="shared" si="26"/>
        <v>キャリアパス要件Ⅰ・Ⅱ_</v>
      </c>
      <c r="AS50" s="534" t="str">
        <f t="shared" si="30"/>
        <v>入力済</v>
      </c>
      <c r="AT50" s="551" t="str">
        <f t="shared" si="15"/>
        <v/>
      </c>
      <c r="AU50" s="534" t="str">
        <f t="shared" si="31"/>
        <v>入力済</v>
      </c>
      <c r="AV50" s="534" t="str">
        <f t="shared" si="32"/>
        <v/>
      </c>
      <c r="AW50" s="534" t="str">
        <f t="shared" si="16"/>
        <v/>
      </c>
      <c r="AX50" s="551" t="str">
        <f t="shared" si="33"/>
        <v/>
      </c>
      <c r="AY50" s="534" t="str">
        <f>IFERROR(VLOOKUP(K50,【参考】数式用!$AR$3:$AS$49, 2, FALSE), "")</f>
        <v/>
      </c>
      <c r="AZ50" s="551" t="str">
        <f t="shared" si="17"/>
        <v/>
      </c>
      <c r="BA50" s="555" t="str">
        <f t="shared" si="34"/>
        <v>入力済</v>
      </c>
      <c r="BB50" s="534" t="str">
        <f>IFERROR(VLOOKUP(K50,【参考】数式用!$AX$3:$AY$59, 2, FALSE), "")</f>
        <v/>
      </c>
      <c r="BC50" s="551" t="str">
        <f t="shared" si="18"/>
        <v/>
      </c>
      <c r="BD50" s="555" t="str">
        <f t="shared" si="35"/>
        <v>入力済</v>
      </c>
      <c r="BE50" s="555" t="str">
        <f t="shared" si="19"/>
        <v/>
      </c>
      <c r="BF50" s="555" t="str">
        <f t="shared" si="20"/>
        <v/>
      </c>
      <c r="BG50" s="555" t="str">
        <f t="shared" si="21"/>
        <v/>
      </c>
      <c r="BH50" s="555" t="str">
        <f t="shared" si="36"/>
        <v/>
      </c>
      <c r="BI50" s="555" t="str">
        <f t="shared" si="37"/>
        <v/>
      </c>
      <c r="BL50" t="str">
        <f t="shared" si="22"/>
        <v/>
      </c>
      <c r="BM50" t="str">
        <f t="shared" si="23"/>
        <v/>
      </c>
      <c r="BN50" t="str">
        <f t="shared" si="24"/>
        <v/>
      </c>
      <c r="BO50" s="562" t="str">
        <f>IF(BN50="対象",ROUNDDOWN(L50*VLOOKUP(K50,【参考】数式用!$A$4:$J$42,10,FALSE)*AA50,0),"")</f>
        <v/>
      </c>
      <c r="BP50" t="str">
        <f t="shared" si="25"/>
        <v/>
      </c>
    </row>
    <row r="51" spans="1:68" ht="109.95" customHeight="1" thickBot="1">
      <c r="A51" s="306">
        <v>38</v>
      </c>
      <c r="B51" s="646" t="str">
        <f>IF(基本情報入力シート!B73="","",基本情報入力シート!B73)</f>
        <v/>
      </c>
      <c r="C51" s="647"/>
      <c r="D51" s="647"/>
      <c r="E51" s="647"/>
      <c r="F51" s="648"/>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53" t="str">
        <f>IF(基本情報入力シート!AF73=0, "",基本情報入力シート!AF73)</f>
        <v/>
      </c>
      <c r="M51" s="519" t="str">
        <f>IF('別紙様式2-2（個票（４、５月））'!M51="","",'別紙様式2-2（個票（４、５月））'!M51)</f>
        <v/>
      </c>
      <c r="N51" s="518" t="str">
        <f>IF('別紙様式2-2（個票（４、５月））'!N51="","",'別紙様式2-2（個票（４、５月））'!N51)</f>
        <v/>
      </c>
      <c r="O51" s="289"/>
      <c r="P51" s="549" t="str">
        <f>IFERROR(VLOOKUP(K51,【参考】数式用!$A$2:$M$57,MATCH(O51,【参考】数式用!$G$3:$M$3,0)+6,0),"")</f>
        <v/>
      </c>
      <c r="Q51" s="313" t="s">
        <v>113</v>
      </c>
      <c r="R51" s="311"/>
      <c r="S51" s="312" t="s">
        <v>178</v>
      </c>
      <c r="T51" s="311"/>
      <c r="U51" s="312" t="s">
        <v>179</v>
      </c>
      <c r="V51" s="311"/>
      <c r="W51" s="312" t="s">
        <v>178</v>
      </c>
      <c r="X51" s="311"/>
      <c r="Y51" s="312" t="s">
        <v>180</v>
      </c>
      <c r="Z51" s="312" t="s">
        <v>181</v>
      </c>
      <c r="AA51" s="312" t="str">
        <f t="shared" si="27"/>
        <v/>
      </c>
      <c r="AB51" s="308" t="s">
        <v>182</v>
      </c>
      <c r="AC51" s="309" t="str">
        <f t="shared" si="11"/>
        <v/>
      </c>
      <c r="AD51" s="510" t="str">
        <f t="shared" si="12"/>
        <v/>
      </c>
      <c r="AE51" s="310" t="str">
        <f>IFERROR(ROUNDDOWN(ROUNDDOWN(ROUND(L51*VLOOKUP(K51,【参考】数式用!$A$2:$M$57,MATCH("処遇改善加算Ⅳ",【参考】数式用!$G$3:$M$3,0)+6,0),0),0)*AA51*0.5,0), "")</f>
        <v/>
      </c>
      <c r="AF51" s="321"/>
      <c r="AG51" s="322"/>
      <c r="AH51" s="322"/>
      <c r="AI51" s="321"/>
      <c r="AJ51" s="323"/>
      <c r="AK51" s="329"/>
      <c r="AL51" s="327" t="str">
        <f t="shared" si="28"/>
        <v/>
      </c>
      <c r="AM51" s="328" t="str">
        <f t="shared" si="13"/>
        <v/>
      </c>
      <c r="AN51" s="258"/>
      <c r="AO51" s="551" t="str">
        <f>IFERROR(VLOOKUP(K51,【参考】数式用!$A$2:$N$57,14,FALSE),"")</f>
        <v/>
      </c>
      <c r="AP51" s="551" t="str">
        <f t="shared" si="14"/>
        <v/>
      </c>
      <c r="AQ51" s="556" t="str">
        <f t="shared" si="29"/>
        <v/>
      </c>
      <c r="AR51" s="556" t="str">
        <f t="shared" si="26"/>
        <v>キャリアパス要件Ⅰ・Ⅱ_</v>
      </c>
      <c r="AS51" s="534" t="str">
        <f t="shared" si="30"/>
        <v>入力済</v>
      </c>
      <c r="AT51" s="551" t="str">
        <f t="shared" si="15"/>
        <v/>
      </c>
      <c r="AU51" s="534" t="str">
        <f t="shared" si="31"/>
        <v>入力済</v>
      </c>
      <c r="AV51" s="534" t="str">
        <f t="shared" si="32"/>
        <v/>
      </c>
      <c r="AW51" s="534" t="str">
        <f t="shared" si="16"/>
        <v/>
      </c>
      <c r="AX51" s="551" t="str">
        <f t="shared" si="33"/>
        <v/>
      </c>
      <c r="AY51" s="534" t="str">
        <f>IFERROR(VLOOKUP(K51,【参考】数式用!$AR$3:$AS$49, 2, FALSE), "")</f>
        <v/>
      </c>
      <c r="AZ51" s="551" t="str">
        <f t="shared" si="17"/>
        <v/>
      </c>
      <c r="BA51" s="555" t="str">
        <f t="shared" si="34"/>
        <v>入力済</v>
      </c>
      <c r="BB51" s="534" t="str">
        <f>IFERROR(VLOOKUP(K51,【参考】数式用!$AX$3:$AY$59, 2, FALSE), "")</f>
        <v/>
      </c>
      <c r="BC51" s="551" t="str">
        <f t="shared" si="18"/>
        <v/>
      </c>
      <c r="BD51" s="555" t="str">
        <f t="shared" si="35"/>
        <v>入力済</v>
      </c>
      <c r="BE51" s="555" t="str">
        <f t="shared" si="19"/>
        <v/>
      </c>
      <c r="BF51" s="555" t="str">
        <f t="shared" si="20"/>
        <v/>
      </c>
      <c r="BG51" s="555" t="str">
        <f t="shared" si="21"/>
        <v/>
      </c>
      <c r="BH51" s="555" t="str">
        <f t="shared" si="36"/>
        <v/>
      </c>
      <c r="BI51" s="555" t="str">
        <f t="shared" si="37"/>
        <v/>
      </c>
      <c r="BL51" t="str">
        <f t="shared" si="22"/>
        <v/>
      </c>
      <c r="BM51" t="str">
        <f t="shared" si="23"/>
        <v/>
      </c>
      <c r="BN51" t="str">
        <f t="shared" si="24"/>
        <v/>
      </c>
      <c r="BO51" s="562" t="str">
        <f>IF(BN51="対象",ROUNDDOWN(L51*VLOOKUP(K51,【参考】数式用!$A$4:$J$42,10,FALSE)*AA51,0),"")</f>
        <v/>
      </c>
      <c r="BP51" t="str">
        <f t="shared" si="25"/>
        <v/>
      </c>
    </row>
    <row r="52" spans="1:68" ht="109.95" customHeight="1" thickBot="1">
      <c r="A52" s="306">
        <v>39</v>
      </c>
      <c r="B52" s="646" t="str">
        <f>IF(基本情報入力シート!B74="","",基本情報入力シート!B74)</f>
        <v/>
      </c>
      <c r="C52" s="647"/>
      <c r="D52" s="647"/>
      <c r="E52" s="647"/>
      <c r="F52" s="648"/>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53" t="str">
        <f>IF(基本情報入力シート!AF74=0, "",基本情報入力シート!AF74)</f>
        <v/>
      </c>
      <c r="M52" s="519" t="str">
        <f>IF('別紙様式2-2（個票（４、５月））'!M52="","",'別紙様式2-2（個票（４、５月））'!M52)</f>
        <v/>
      </c>
      <c r="N52" s="518" t="str">
        <f>IF('別紙様式2-2（個票（４、５月））'!N52="","",'別紙様式2-2（個票（４、５月））'!N52)</f>
        <v/>
      </c>
      <c r="O52" s="289"/>
      <c r="P52" s="549" t="str">
        <f>IFERROR(VLOOKUP(K52,【参考】数式用!$A$2:$M$57,MATCH(O52,【参考】数式用!$G$3:$M$3,0)+6,0),"")</f>
        <v/>
      </c>
      <c r="Q52" s="313" t="s">
        <v>113</v>
      </c>
      <c r="R52" s="311"/>
      <c r="S52" s="312" t="s">
        <v>178</v>
      </c>
      <c r="T52" s="311"/>
      <c r="U52" s="312" t="s">
        <v>179</v>
      </c>
      <c r="V52" s="311"/>
      <c r="W52" s="312" t="s">
        <v>178</v>
      </c>
      <c r="X52" s="311"/>
      <c r="Y52" s="312" t="s">
        <v>180</v>
      </c>
      <c r="Z52" s="312" t="s">
        <v>181</v>
      </c>
      <c r="AA52" s="312" t="str">
        <f t="shared" si="27"/>
        <v/>
      </c>
      <c r="AB52" s="308" t="s">
        <v>182</v>
      </c>
      <c r="AC52" s="309" t="str">
        <f t="shared" si="11"/>
        <v/>
      </c>
      <c r="AD52" s="510" t="str">
        <f t="shared" si="12"/>
        <v/>
      </c>
      <c r="AE52" s="310" t="str">
        <f>IFERROR(ROUNDDOWN(ROUNDDOWN(ROUND(L52*VLOOKUP(K52,【参考】数式用!$A$2:$M$57,MATCH("処遇改善加算Ⅳ",【参考】数式用!$G$3:$M$3,0)+6,0),0),0)*AA52*0.5,0), "")</f>
        <v/>
      </c>
      <c r="AF52" s="321"/>
      <c r="AG52" s="322"/>
      <c r="AH52" s="322"/>
      <c r="AI52" s="321"/>
      <c r="AJ52" s="323"/>
      <c r="AK52" s="329"/>
      <c r="AL52" s="327" t="str">
        <f t="shared" si="28"/>
        <v/>
      </c>
      <c r="AM52" s="328" t="str">
        <f t="shared" si="13"/>
        <v/>
      </c>
      <c r="AN52" s="258"/>
      <c r="AO52" s="551" t="str">
        <f>IFERROR(VLOOKUP(K52,【参考】数式用!$A$2:$N$57,14,FALSE),"")</f>
        <v/>
      </c>
      <c r="AP52" s="551" t="str">
        <f t="shared" si="14"/>
        <v/>
      </c>
      <c r="AQ52" s="556" t="str">
        <f t="shared" si="29"/>
        <v/>
      </c>
      <c r="AR52" s="556" t="str">
        <f t="shared" si="26"/>
        <v>キャリアパス要件Ⅰ・Ⅱ_</v>
      </c>
      <c r="AS52" s="534" t="str">
        <f t="shared" si="30"/>
        <v>入力済</v>
      </c>
      <c r="AT52" s="551" t="str">
        <f t="shared" si="15"/>
        <v/>
      </c>
      <c r="AU52" s="534" t="str">
        <f t="shared" si="31"/>
        <v>入力済</v>
      </c>
      <c r="AV52" s="534" t="str">
        <f t="shared" si="32"/>
        <v/>
      </c>
      <c r="AW52" s="534" t="str">
        <f t="shared" si="16"/>
        <v/>
      </c>
      <c r="AX52" s="551" t="str">
        <f t="shared" si="33"/>
        <v/>
      </c>
      <c r="AY52" s="534" t="str">
        <f>IFERROR(VLOOKUP(K52,【参考】数式用!$AR$3:$AS$49, 2, FALSE), "")</f>
        <v/>
      </c>
      <c r="AZ52" s="551" t="str">
        <f t="shared" si="17"/>
        <v/>
      </c>
      <c r="BA52" s="555" t="str">
        <f t="shared" si="34"/>
        <v>入力済</v>
      </c>
      <c r="BB52" s="534" t="str">
        <f>IFERROR(VLOOKUP(K52,【参考】数式用!$AX$3:$AY$59, 2, FALSE), "")</f>
        <v/>
      </c>
      <c r="BC52" s="551" t="str">
        <f t="shared" si="18"/>
        <v/>
      </c>
      <c r="BD52" s="555" t="str">
        <f t="shared" si="35"/>
        <v>入力済</v>
      </c>
      <c r="BE52" s="555" t="str">
        <f t="shared" si="19"/>
        <v/>
      </c>
      <c r="BF52" s="555" t="str">
        <f t="shared" si="20"/>
        <v/>
      </c>
      <c r="BG52" s="555" t="str">
        <f t="shared" si="21"/>
        <v/>
      </c>
      <c r="BH52" s="555" t="str">
        <f t="shared" si="36"/>
        <v/>
      </c>
      <c r="BI52" s="555" t="str">
        <f t="shared" si="37"/>
        <v/>
      </c>
      <c r="BL52" t="str">
        <f t="shared" si="22"/>
        <v/>
      </c>
      <c r="BM52" t="str">
        <f t="shared" si="23"/>
        <v/>
      </c>
      <c r="BN52" t="str">
        <f t="shared" si="24"/>
        <v/>
      </c>
      <c r="BO52" s="562" t="str">
        <f>IF(BN52="対象",ROUNDDOWN(L52*VLOOKUP(K52,【参考】数式用!$A$4:$J$42,10,FALSE)*AA52,0),"")</f>
        <v/>
      </c>
      <c r="BP52" t="str">
        <f t="shared" si="25"/>
        <v/>
      </c>
    </row>
    <row r="53" spans="1:68" ht="109.95" customHeight="1" thickBot="1">
      <c r="A53" s="306">
        <v>40</v>
      </c>
      <c r="B53" s="646" t="str">
        <f>IF(基本情報入力シート!B75="","",基本情報入力シート!B75)</f>
        <v/>
      </c>
      <c r="C53" s="647"/>
      <c r="D53" s="647"/>
      <c r="E53" s="647"/>
      <c r="F53" s="648"/>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53" t="str">
        <f>IF(基本情報入力シート!AF75=0, "",基本情報入力シート!AF75)</f>
        <v/>
      </c>
      <c r="M53" s="519" t="str">
        <f>IF('別紙様式2-2（個票（４、５月））'!M53="","",'別紙様式2-2（個票（４、５月））'!M53)</f>
        <v/>
      </c>
      <c r="N53" s="518" t="str">
        <f>IF('別紙様式2-2（個票（４、５月））'!N53="","",'別紙様式2-2（個票（４、５月））'!N53)</f>
        <v/>
      </c>
      <c r="O53" s="289"/>
      <c r="P53" s="549" t="str">
        <f>IFERROR(VLOOKUP(K53,【参考】数式用!$A$2:$M$57,MATCH(O53,【参考】数式用!$G$3:$M$3,0)+6,0),"")</f>
        <v/>
      </c>
      <c r="Q53" s="313" t="s">
        <v>113</v>
      </c>
      <c r="R53" s="311"/>
      <c r="S53" s="312" t="s">
        <v>178</v>
      </c>
      <c r="T53" s="311"/>
      <c r="U53" s="312" t="s">
        <v>179</v>
      </c>
      <c r="V53" s="311"/>
      <c r="W53" s="312" t="s">
        <v>178</v>
      </c>
      <c r="X53" s="311"/>
      <c r="Y53" s="312" t="s">
        <v>115</v>
      </c>
      <c r="Z53" s="312" t="s">
        <v>181</v>
      </c>
      <c r="AA53" s="312" t="str">
        <f t="shared" si="27"/>
        <v/>
      </c>
      <c r="AB53" s="308" t="s">
        <v>182</v>
      </c>
      <c r="AC53" s="309" t="str">
        <f t="shared" si="11"/>
        <v/>
      </c>
      <c r="AD53" s="510" t="str">
        <f t="shared" si="12"/>
        <v/>
      </c>
      <c r="AE53" s="310" t="str">
        <f>IFERROR(ROUNDDOWN(ROUNDDOWN(ROUND(L53*VLOOKUP(K53,【参考】数式用!$A$2:$M$57,MATCH("処遇改善加算Ⅳ",【参考】数式用!$G$3:$M$3,0)+6,0),0),0)*AA53*0.5,0), "")</f>
        <v/>
      </c>
      <c r="AF53" s="321"/>
      <c r="AG53" s="322"/>
      <c r="AH53" s="322"/>
      <c r="AI53" s="321"/>
      <c r="AJ53" s="323"/>
      <c r="AK53" s="329"/>
      <c r="AL53" s="327" t="str">
        <f t="shared" si="28"/>
        <v/>
      </c>
      <c r="AM53" s="328" t="str">
        <f t="shared" si="13"/>
        <v/>
      </c>
      <c r="AN53" s="258"/>
      <c r="AO53" s="551" t="str">
        <f>IFERROR(VLOOKUP(K53,【参考】数式用!$A$2:$N$57,14,FALSE),"")</f>
        <v/>
      </c>
      <c r="AP53" s="551" t="str">
        <f t="shared" si="14"/>
        <v/>
      </c>
      <c r="AQ53" s="556" t="str">
        <f t="shared" si="29"/>
        <v/>
      </c>
      <c r="AR53" s="556" t="str">
        <f t="shared" si="26"/>
        <v>キャリアパス要件Ⅰ・Ⅱ_</v>
      </c>
      <c r="AS53" s="534" t="str">
        <f t="shared" si="30"/>
        <v>入力済</v>
      </c>
      <c r="AT53" s="551" t="str">
        <f t="shared" si="15"/>
        <v/>
      </c>
      <c r="AU53" s="534" t="str">
        <f t="shared" si="31"/>
        <v>入力済</v>
      </c>
      <c r="AV53" s="534" t="str">
        <f t="shared" si="32"/>
        <v/>
      </c>
      <c r="AW53" s="534" t="str">
        <f t="shared" si="16"/>
        <v/>
      </c>
      <c r="AX53" s="551" t="str">
        <f t="shared" si="33"/>
        <v/>
      </c>
      <c r="AY53" s="534" t="str">
        <f>IFERROR(VLOOKUP(K53,【参考】数式用!$AR$3:$AS$49, 2, FALSE), "")</f>
        <v/>
      </c>
      <c r="AZ53" s="551" t="str">
        <f t="shared" si="17"/>
        <v/>
      </c>
      <c r="BA53" s="555" t="str">
        <f t="shared" si="34"/>
        <v>入力済</v>
      </c>
      <c r="BB53" s="534" t="str">
        <f>IFERROR(VLOOKUP(K53,【参考】数式用!$AX$3:$AY$59, 2, FALSE), "")</f>
        <v/>
      </c>
      <c r="BC53" s="551" t="str">
        <f t="shared" si="18"/>
        <v/>
      </c>
      <c r="BD53" s="555" t="str">
        <f t="shared" si="35"/>
        <v>入力済</v>
      </c>
      <c r="BE53" s="555" t="str">
        <f t="shared" si="19"/>
        <v/>
      </c>
      <c r="BF53" s="555" t="str">
        <f t="shared" si="20"/>
        <v/>
      </c>
      <c r="BG53" s="555" t="str">
        <f t="shared" si="21"/>
        <v/>
      </c>
      <c r="BH53" s="555" t="str">
        <f t="shared" si="36"/>
        <v/>
      </c>
      <c r="BI53" s="555" t="str">
        <f t="shared" si="37"/>
        <v/>
      </c>
      <c r="BL53" t="str">
        <f t="shared" si="22"/>
        <v/>
      </c>
      <c r="BM53" t="str">
        <f t="shared" si="23"/>
        <v/>
      </c>
      <c r="BN53" t="str">
        <f t="shared" si="24"/>
        <v/>
      </c>
      <c r="BO53" s="562" t="str">
        <f>IF(BN53="対象",ROUNDDOWN(L53*VLOOKUP(K53,【参考】数式用!$A$4:$J$42,10,FALSE)*AA53,0),"")</f>
        <v/>
      </c>
      <c r="BP53" t="str">
        <f t="shared" si="25"/>
        <v/>
      </c>
    </row>
    <row r="54" spans="1:68" ht="109.95" customHeight="1" thickBot="1">
      <c r="A54" s="306">
        <v>41</v>
      </c>
      <c r="B54" s="646" t="str">
        <f>IF(基本情報入力シート!B76="","",基本情報入力シート!B76)</f>
        <v/>
      </c>
      <c r="C54" s="647"/>
      <c r="D54" s="647"/>
      <c r="E54" s="647"/>
      <c r="F54" s="648"/>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53" t="str">
        <f>IF(基本情報入力シート!AF76=0, "",基本情報入力シート!AF76)</f>
        <v/>
      </c>
      <c r="M54" s="519" t="str">
        <f>IF('別紙様式2-2（個票（４、５月））'!M54="","",'別紙様式2-2（個票（４、５月））'!M54)</f>
        <v/>
      </c>
      <c r="N54" s="518" t="str">
        <f>IF('別紙様式2-2（個票（４、５月））'!N54="","",'別紙様式2-2（個票（４、５月））'!N54)</f>
        <v/>
      </c>
      <c r="O54" s="289"/>
      <c r="P54" s="549" t="str">
        <f>IFERROR(VLOOKUP(K54,【参考】数式用!$A$2:$M$57,MATCH(O54,【参考】数式用!$G$3:$M$3,0)+6,0),"")</f>
        <v/>
      </c>
      <c r="Q54" s="313" t="s">
        <v>113</v>
      </c>
      <c r="R54" s="311"/>
      <c r="S54" s="312" t="s">
        <v>178</v>
      </c>
      <c r="T54" s="311"/>
      <c r="U54" s="312" t="s">
        <v>179</v>
      </c>
      <c r="V54" s="311"/>
      <c r="W54" s="312" t="s">
        <v>178</v>
      </c>
      <c r="X54" s="311"/>
      <c r="Y54" s="312" t="s">
        <v>115</v>
      </c>
      <c r="Z54" s="312" t="s">
        <v>181</v>
      </c>
      <c r="AA54" s="312" t="str">
        <f t="shared" si="27"/>
        <v/>
      </c>
      <c r="AB54" s="308" t="s">
        <v>182</v>
      </c>
      <c r="AC54" s="309" t="str">
        <f t="shared" si="11"/>
        <v/>
      </c>
      <c r="AD54" s="510" t="str">
        <f t="shared" si="12"/>
        <v/>
      </c>
      <c r="AE54" s="310" t="str">
        <f>IFERROR(ROUNDDOWN(ROUNDDOWN(ROUND(L54*VLOOKUP(K54,【参考】数式用!$A$2:$M$57,MATCH("処遇改善加算Ⅳ",【参考】数式用!$G$3:$M$3,0)+6,0),0),0)*AA54*0.5,0), "")</f>
        <v/>
      </c>
      <c r="AF54" s="321"/>
      <c r="AG54" s="322"/>
      <c r="AH54" s="322"/>
      <c r="AI54" s="321"/>
      <c r="AJ54" s="323"/>
      <c r="AK54" s="329"/>
      <c r="AL54" s="327" t="str">
        <f t="shared" si="28"/>
        <v/>
      </c>
      <c r="AM54" s="328" t="str">
        <f t="shared" si="13"/>
        <v/>
      </c>
      <c r="AN54" s="258"/>
      <c r="AO54" s="551" t="str">
        <f>IFERROR(VLOOKUP(K54,【参考】数式用!$A$2:$N$57,14,FALSE),"")</f>
        <v/>
      </c>
      <c r="AP54" s="551" t="str">
        <f t="shared" si="14"/>
        <v/>
      </c>
      <c r="AQ54" s="556" t="str">
        <f t="shared" si="29"/>
        <v/>
      </c>
      <c r="AR54" s="556" t="str">
        <f t="shared" si="26"/>
        <v>キャリアパス要件Ⅰ・Ⅱ_</v>
      </c>
      <c r="AS54" s="534" t="str">
        <f t="shared" si="30"/>
        <v>入力済</v>
      </c>
      <c r="AT54" s="551" t="str">
        <f t="shared" si="15"/>
        <v/>
      </c>
      <c r="AU54" s="534" t="str">
        <f t="shared" si="31"/>
        <v>入力済</v>
      </c>
      <c r="AV54" s="534" t="str">
        <f t="shared" si="32"/>
        <v/>
      </c>
      <c r="AW54" s="534" t="str">
        <f t="shared" si="16"/>
        <v/>
      </c>
      <c r="AX54" s="551" t="str">
        <f t="shared" si="33"/>
        <v/>
      </c>
      <c r="AY54" s="534" t="str">
        <f>IFERROR(VLOOKUP(K54,【参考】数式用!$AR$3:$AS$49, 2, FALSE), "")</f>
        <v/>
      </c>
      <c r="AZ54" s="551" t="str">
        <f t="shared" si="17"/>
        <v/>
      </c>
      <c r="BA54" s="555" t="str">
        <f t="shared" si="34"/>
        <v>入力済</v>
      </c>
      <c r="BB54" s="534" t="str">
        <f>IFERROR(VLOOKUP(K54,【参考】数式用!$AX$3:$AY$59, 2, FALSE), "")</f>
        <v/>
      </c>
      <c r="BC54" s="551" t="str">
        <f t="shared" si="18"/>
        <v/>
      </c>
      <c r="BD54" s="555" t="str">
        <f t="shared" si="35"/>
        <v>入力済</v>
      </c>
      <c r="BE54" s="555" t="str">
        <f t="shared" si="19"/>
        <v/>
      </c>
      <c r="BF54" s="555" t="str">
        <f t="shared" si="20"/>
        <v/>
      </c>
      <c r="BG54" s="555" t="str">
        <f t="shared" si="21"/>
        <v/>
      </c>
      <c r="BH54" s="555" t="str">
        <f t="shared" si="36"/>
        <v/>
      </c>
      <c r="BI54" s="555" t="str">
        <f t="shared" si="37"/>
        <v/>
      </c>
      <c r="BL54" t="str">
        <f t="shared" si="22"/>
        <v/>
      </c>
      <c r="BM54" t="str">
        <f t="shared" si="23"/>
        <v/>
      </c>
      <c r="BN54" t="str">
        <f t="shared" si="24"/>
        <v/>
      </c>
      <c r="BO54" s="562" t="str">
        <f>IF(BN54="対象",ROUNDDOWN(L54*VLOOKUP(K54,【参考】数式用!$A$4:$J$42,10,FALSE)*AA54,0),"")</f>
        <v/>
      </c>
      <c r="BP54" t="str">
        <f t="shared" si="25"/>
        <v/>
      </c>
    </row>
    <row r="55" spans="1:68" ht="109.95" customHeight="1" thickBot="1">
      <c r="A55" s="306">
        <v>42</v>
      </c>
      <c r="B55" s="646" t="str">
        <f>IF(基本情報入力シート!B77="","",基本情報入力シート!B77)</f>
        <v/>
      </c>
      <c r="C55" s="647"/>
      <c r="D55" s="647"/>
      <c r="E55" s="647"/>
      <c r="F55" s="648"/>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53" t="str">
        <f>IF(基本情報入力シート!AF77=0, "",基本情報入力シート!AF77)</f>
        <v/>
      </c>
      <c r="M55" s="519" t="str">
        <f>IF('別紙様式2-2（個票（４、５月））'!M55="","",'別紙様式2-2（個票（４、５月））'!M55)</f>
        <v/>
      </c>
      <c r="N55" s="518" t="str">
        <f>IF('別紙様式2-2（個票（４、５月））'!N55="","",'別紙様式2-2（個票（４、５月））'!N55)</f>
        <v/>
      </c>
      <c r="O55" s="289"/>
      <c r="P55" s="549" t="str">
        <f>IFERROR(VLOOKUP(K55,【参考】数式用!$A$2:$M$57,MATCH(O55,【参考】数式用!$G$3:$M$3,0)+6,0),"")</f>
        <v/>
      </c>
      <c r="Q55" s="313" t="s">
        <v>113</v>
      </c>
      <c r="R55" s="311"/>
      <c r="S55" s="312" t="s">
        <v>178</v>
      </c>
      <c r="T55" s="311"/>
      <c r="U55" s="312" t="s">
        <v>179</v>
      </c>
      <c r="V55" s="311"/>
      <c r="W55" s="312" t="s">
        <v>178</v>
      </c>
      <c r="X55" s="311"/>
      <c r="Y55" s="312" t="s">
        <v>180</v>
      </c>
      <c r="Z55" s="312" t="s">
        <v>181</v>
      </c>
      <c r="AA55" s="312" t="str">
        <f t="shared" si="27"/>
        <v/>
      </c>
      <c r="AB55" s="308" t="s">
        <v>182</v>
      </c>
      <c r="AC55" s="309" t="str">
        <f t="shared" si="11"/>
        <v/>
      </c>
      <c r="AD55" s="510" t="str">
        <f t="shared" si="12"/>
        <v/>
      </c>
      <c r="AE55" s="310" t="str">
        <f>IFERROR(ROUNDDOWN(ROUNDDOWN(ROUND(L55*VLOOKUP(K55,【参考】数式用!$A$2:$M$57,MATCH("処遇改善加算Ⅳ",【参考】数式用!$G$3:$M$3,0)+6,0),0),0)*AA55*0.5,0), "")</f>
        <v/>
      </c>
      <c r="AF55" s="321"/>
      <c r="AG55" s="322"/>
      <c r="AH55" s="322"/>
      <c r="AI55" s="321"/>
      <c r="AJ55" s="323"/>
      <c r="AK55" s="329"/>
      <c r="AL55" s="327" t="str">
        <f t="shared" si="28"/>
        <v/>
      </c>
      <c r="AM55" s="328" t="str">
        <f t="shared" si="13"/>
        <v/>
      </c>
      <c r="AN55" s="258"/>
      <c r="AO55" s="551" t="str">
        <f>IFERROR(VLOOKUP(K55,【参考】数式用!$A$2:$N$57,14,FALSE),"")</f>
        <v/>
      </c>
      <c r="AP55" s="551" t="str">
        <f t="shared" si="14"/>
        <v/>
      </c>
      <c r="AQ55" s="556" t="str">
        <f t="shared" si="29"/>
        <v/>
      </c>
      <c r="AR55" s="556" t="str">
        <f t="shared" si="26"/>
        <v>キャリアパス要件Ⅰ・Ⅱ_</v>
      </c>
      <c r="AS55" s="534" t="str">
        <f t="shared" si="30"/>
        <v>入力済</v>
      </c>
      <c r="AT55" s="551" t="str">
        <f t="shared" si="15"/>
        <v/>
      </c>
      <c r="AU55" s="534" t="str">
        <f t="shared" si="31"/>
        <v>入力済</v>
      </c>
      <c r="AV55" s="534" t="str">
        <f t="shared" si="32"/>
        <v/>
      </c>
      <c r="AW55" s="534" t="str">
        <f t="shared" si="16"/>
        <v/>
      </c>
      <c r="AX55" s="551" t="str">
        <f t="shared" si="33"/>
        <v/>
      </c>
      <c r="AY55" s="534" t="str">
        <f>IFERROR(VLOOKUP(K55,【参考】数式用!$AR$3:$AS$49, 2, FALSE), "")</f>
        <v/>
      </c>
      <c r="AZ55" s="551" t="str">
        <f t="shared" si="17"/>
        <v/>
      </c>
      <c r="BA55" s="555" t="str">
        <f t="shared" si="34"/>
        <v>入力済</v>
      </c>
      <c r="BB55" s="534" t="str">
        <f>IFERROR(VLOOKUP(K55,【参考】数式用!$AX$3:$AY$59, 2, FALSE), "")</f>
        <v/>
      </c>
      <c r="BC55" s="551" t="str">
        <f t="shared" si="18"/>
        <v/>
      </c>
      <c r="BD55" s="555" t="str">
        <f t="shared" si="35"/>
        <v>入力済</v>
      </c>
      <c r="BE55" s="555" t="str">
        <f t="shared" si="19"/>
        <v/>
      </c>
      <c r="BF55" s="555" t="str">
        <f t="shared" si="20"/>
        <v/>
      </c>
      <c r="BG55" s="555" t="str">
        <f t="shared" si="21"/>
        <v/>
      </c>
      <c r="BH55" s="555" t="str">
        <f t="shared" si="36"/>
        <v/>
      </c>
      <c r="BI55" s="555" t="str">
        <f t="shared" si="37"/>
        <v/>
      </c>
      <c r="BL55" t="str">
        <f t="shared" si="22"/>
        <v/>
      </c>
      <c r="BM55" t="str">
        <f t="shared" si="23"/>
        <v/>
      </c>
      <c r="BN55" t="str">
        <f t="shared" si="24"/>
        <v/>
      </c>
      <c r="BO55" s="562" t="str">
        <f>IF(BN55="対象",ROUNDDOWN(L55*VLOOKUP(K55,【参考】数式用!$A$4:$J$42,10,FALSE)*AA55,0),"")</f>
        <v/>
      </c>
      <c r="BP55" t="str">
        <f t="shared" si="25"/>
        <v/>
      </c>
    </row>
    <row r="56" spans="1:68" ht="109.95" customHeight="1" thickBot="1">
      <c r="A56" s="306">
        <v>43</v>
      </c>
      <c r="B56" s="646" t="str">
        <f>IF(基本情報入力シート!B78="","",基本情報入力シート!B78)</f>
        <v/>
      </c>
      <c r="C56" s="647"/>
      <c r="D56" s="647"/>
      <c r="E56" s="647"/>
      <c r="F56" s="648"/>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53" t="str">
        <f>IF(基本情報入力シート!AF78=0, "",基本情報入力シート!AF78)</f>
        <v/>
      </c>
      <c r="M56" s="519" t="str">
        <f>IF('別紙様式2-2（個票（４、５月））'!M56="","",'別紙様式2-2（個票（４、５月））'!M56)</f>
        <v/>
      </c>
      <c r="N56" s="518" t="str">
        <f>IF('別紙様式2-2（個票（４、５月））'!N56="","",'別紙様式2-2（個票（４、５月））'!N56)</f>
        <v/>
      </c>
      <c r="O56" s="289"/>
      <c r="P56" s="549" t="str">
        <f>IFERROR(VLOOKUP(K56,【参考】数式用!$A$2:$M$57,MATCH(O56,【参考】数式用!$G$3:$M$3,0)+6,0),"")</f>
        <v/>
      </c>
      <c r="Q56" s="313" t="s">
        <v>113</v>
      </c>
      <c r="R56" s="311"/>
      <c r="S56" s="312" t="s">
        <v>178</v>
      </c>
      <c r="T56" s="311"/>
      <c r="U56" s="312" t="s">
        <v>179</v>
      </c>
      <c r="V56" s="311"/>
      <c r="W56" s="312" t="s">
        <v>178</v>
      </c>
      <c r="X56" s="311"/>
      <c r="Y56" s="312" t="s">
        <v>180</v>
      </c>
      <c r="Z56" s="312" t="s">
        <v>181</v>
      </c>
      <c r="AA56" s="312" t="str">
        <f t="shared" si="27"/>
        <v/>
      </c>
      <c r="AB56" s="308" t="s">
        <v>182</v>
      </c>
      <c r="AC56" s="309" t="str">
        <f t="shared" si="11"/>
        <v/>
      </c>
      <c r="AD56" s="510" t="str">
        <f t="shared" si="12"/>
        <v/>
      </c>
      <c r="AE56" s="310" t="str">
        <f>IFERROR(ROUNDDOWN(ROUNDDOWN(ROUND(L56*VLOOKUP(K56,【参考】数式用!$A$2:$M$57,MATCH("処遇改善加算Ⅳ",【参考】数式用!$G$3:$M$3,0)+6,0),0),0)*AA56*0.5,0), "")</f>
        <v/>
      </c>
      <c r="AF56" s="321"/>
      <c r="AG56" s="322"/>
      <c r="AH56" s="322"/>
      <c r="AI56" s="321"/>
      <c r="AJ56" s="323"/>
      <c r="AK56" s="329"/>
      <c r="AL56" s="327" t="str">
        <f t="shared" si="28"/>
        <v/>
      </c>
      <c r="AM56" s="328" t="str">
        <f t="shared" si="13"/>
        <v/>
      </c>
      <c r="AN56" s="258"/>
      <c r="AO56" s="551" t="str">
        <f>IFERROR(VLOOKUP(K56,【参考】数式用!$A$2:$N$57,14,FALSE),"")</f>
        <v/>
      </c>
      <c r="AP56" s="551" t="str">
        <f t="shared" si="14"/>
        <v/>
      </c>
      <c r="AQ56" s="556" t="str">
        <f t="shared" si="29"/>
        <v/>
      </c>
      <c r="AR56" s="556" t="str">
        <f t="shared" si="26"/>
        <v>キャリアパス要件Ⅰ・Ⅱ_</v>
      </c>
      <c r="AS56" s="534" t="str">
        <f t="shared" si="30"/>
        <v>入力済</v>
      </c>
      <c r="AT56" s="551" t="str">
        <f t="shared" si="15"/>
        <v/>
      </c>
      <c r="AU56" s="534" t="str">
        <f t="shared" si="31"/>
        <v>入力済</v>
      </c>
      <c r="AV56" s="534" t="str">
        <f t="shared" si="32"/>
        <v/>
      </c>
      <c r="AW56" s="534" t="str">
        <f t="shared" si="16"/>
        <v/>
      </c>
      <c r="AX56" s="551" t="str">
        <f t="shared" si="33"/>
        <v/>
      </c>
      <c r="AY56" s="534" t="str">
        <f>IFERROR(VLOOKUP(K56,【参考】数式用!$AR$3:$AS$49, 2, FALSE), "")</f>
        <v/>
      </c>
      <c r="AZ56" s="551" t="str">
        <f t="shared" si="17"/>
        <v/>
      </c>
      <c r="BA56" s="555" t="str">
        <f t="shared" si="34"/>
        <v>入力済</v>
      </c>
      <c r="BB56" s="534" t="str">
        <f>IFERROR(VLOOKUP(K56,【参考】数式用!$AX$3:$AY$59, 2, FALSE), "")</f>
        <v/>
      </c>
      <c r="BC56" s="551" t="str">
        <f t="shared" si="18"/>
        <v/>
      </c>
      <c r="BD56" s="555" t="str">
        <f t="shared" si="35"/>
        <v>入力済</v>
      </c>
      <c r="BE56" s="555" t="str">
        <f t="shared" si="19"/>
        <v/>
      </c>
      <c r="BF56" s="555" t="str">
        <f t="shared" si="20"/>
        <v/>
      </c>
      <c r="BG56" s="555" t="str">
        <f t="shared" si="21"/>
        <v/>
      </c>
      <c r="BH56" s="555" t="str">
        <f t="shared" si="36"/>
        <v/>
      </c>
      <c r="BI56" s="555" t="str">
        <f t="shared" si="37"/>
        <v/>
      </c>
      <c r="BL56" t="str">
        <f t="shared" si="22"/>
        <v/>
      </c>
      <c r="BM56" t="str">
        <f t="shared" si="23"/>
        <v/>
      </c>
      <c r="BN56" t="str">
        <f t="shared" si="24"/>
        <v/>
      </c>
      <c r="BO56" s="562" t="str">
        <f>IF(BN56="対象",ROUNDDOWN(L56*VLOOKUP(K56,【参考】数式用!$A$4:$J$42,10,FALSE)*AA56,0),"")</f>
        <v/>
      </c>
      <c r="BP56" t="str">
        <f t="shared" si="25"/>
        <v/>
      </c>
    </row>
    <row r="57" spans="1:68" ht="109.95" customHeight="1" thickBot="1">
      <c r="A57" s="306">
        <v>44</v>
      </c>
      <c r="B57" s="646" t="str">
        <f>IF(基本情報入力シート!B79="","",基本情報入力シート!B79)</f>
        <v/>
      </c>
      <c r="C57" s="647"/>
      <c r="D57" s="647"/>
      <c r="E57" s="647"/>
      <c r="F57" s="648"/>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53" t="str">
        <f>IF(基本情報入力シート!AF79=0, "",基本情報入力シート!AF79)</f>
        <v/>
      </c>
      <c r="M57" s="519" t="str">
        <f>IF('別紙様式2-2（個票（４、５月））'!M57="","",'別紙様式2-2（個票（４、５月））'!M57)</f>
        <v/>
      </c>
      <c r="N57" s="518" t="str">
        <f>IF('別紙様式2-2（個票（４、５月））'!N57="","",'別紙様式2-2（個票（４、５月））'!N57)</f>
        <v/>
      </c>
      <c r="O57" s="289"/>
      <c r="P57" s="549" t="str">
        <f>IFERROR(VLOOKUP(K57,【参考】数式用!$A$2:$M$57,MATCH(O57,【参考】数式用!$G$3:$M$3,0)+6,0),"")</f>
        <v/>
      </c>
      <c r="Q57" s="313" t="s">
        <v>113</v>
      </c>
      <c r="R57" s="311"/>
      <c r="S57" s="312" t="s">
        <v>178</v>
      </c>
      <c r="T57" s="311"/>
      <c r="U57" s="312" t="s">
        <v>179</v>
      </c>
      <c r="V57" s="311"/>
      <c r="W57" s="312" t="s">
        <v>178</v>
      </c>
      <c r="X57" s="311"/>
      <c r="Y57" s="312" t="s">
        <v>180</v>
      </c>
      <c r="Z57" s="312" t="s">
        <v>181</v>
      </c>
      <c r="AA57" s="312" t="str">
        <f t="shared" si="27"/>
        <v/>
      </c>
      <c r="AB57" s="308" t="s">
        <v>182</v>
      </c>
      <c r="AC57" s="309" t="str">
        <f t="shared" si="11"/>
        <v/>
      </c>
      <c r="AD57" s="510" t="str">
        <f t="shared" si="12"/>
        <v/>
      </c>
      <c r="AE57" s="310" t="str">
        <f>IFERROR(ROUNDDOWN(ROUNDDOWN(ROUND(L57*VLOOKUP(K57,【参考】数式用!$A$2:$M$57,MATCH("処遇改善加算Ⅳ",【参考】数式用!$G$3:$M$3,0)+6,0),0),0)*AA57*0.5,0), "")</f>
        <v/>
      </c>
      <c r="AF57" s="321"/>
      <c r="AG57" s="322"/>
      <c r="AH57" s="322"/>
      <c r="AI57" s="321"/>
      <c r="AJ57" s="323"/>
      <c r="AK57" s="329"/>
      <c r="AL57" s="327" t="str">
        <f t="shared" si="28"/>
        <v/>
      </c>
      <c r="AM57" s="328" t="str">
        <f t="shared" si="13"/>
        <v/>
      </c>
      <c r="AN57" s="258"/>
      <c r="AO57" s="551" t="str">
        <f>IFERROR(VLOOKUP(K57,【参考】数式用!$A$2:$N$57,14,FALSE),"")</f>
        <v/>
      </c>
      <c r="AP57" s="551" t="str">
        <f t="shared" si="14"/>
        <v/>
      </c>
      <c r="AQ57" s="556" t="str">
        <f t="shared" si="29"/>
        <v/>
      </c>
      <c r="AR57" s="556" t="str">
        <f t="shared" si="26"/>
        <v>キャリアパス要件Ⅰ・Ⅱ_</v>
      </c>
      <c r="AS57" s="534" t="str">
        <f t="shared" si="30"/>
        <v>入力済</v>
      </c>
      <c r="AT57" s="551" t="str">
        <f t="shared" si="15"/>
        <v/>
      </c>
      <c r="AU57" s="534" t="str">
        <f t="shared" si="31"/>
        <v>入力済</v>
      </c>
      <c r="AV57" s="534" t="str">
        <f t="shared" si="32"/>
        <v/>
      </c>
      <c r="AW57" s="534" t="str">
        <f t="shared" si="16"/>
        <v/>
      </c>
      <c r="AX57" s="551" t="str">
        <f t="shared" si="33"/>
        <v/>
      </c>
      <c r="AY57" s="534" t="str">
        <f>IFERROR(VLOOKUP(K57,【参考】数式用!$AR$3:$AS$49, 2, FALSE), "")</f>
        <v/>
      </c>
      <c r="AZ57" s="551" t="str">
        <f t="shared" si="17"/>
        <v/>
      </c>
      <c r="BA57" s="555" t="str">
        <f t="shared" si="34"/>
        <v>入力済</v>
      </c>
      <c r="BB57" s="534" t="str">
        <f>IFERROR(VLOOKUP(K57,【参考】数式用!$AX$3:$AY$59, 2, FALSE), "")</f>
        <v/>
      </c>
      <c r="BC57" s="551" t="str">
        <f t="shared" si="18"/>
        <v/>
      </c>
      <c r="BD57" s="555" t="str">
        <f t="shared" si="35"/>
        <v>入力済</v>
      </c>
      <c r="BE57" s="555" t="str">
        <f t="shared" si="19"/>
        <v/>
      </c>
      <c r="BF57" s="555" t="str">
        <f t="shared" si="20"/>
        <v/>
      </c>
      <c r="BG57" s="555" t="str">
        <f t="shared" si="21"/>
        <v/>
      </c>
      <c r="BH57" s="555" t="str">
        <f t="shared" si="36"/>
        <v/>
      </c>
      <c r="BI57" s="555" t="str">
        <f t="shared" si="37"/>
        <v/>
      </c>
      <c r="BL57" t="str">
        <f t="shared" si="22"/>
        <v/>
      </c>
      <c r="BM57" t="str">
        <f t="shared" si="23"/>
        <v/>
      </c>
      <c r="BN57" t="str">
        <f t="shared" si="24"/>
        <v/>
      </c>
      <c r="BO57" s="562" t="str">
        <f>IF(BN57="対象",ROUNDDOWN(L57*VLOOKUP(K57,【参考】数式用!$A$4:$J$42,10,FALSE)*AA57,0),"")</f>
        <v/>
      </c>
      <c r="BP57" t="str">
        <f t="shared" si="25"/>
        <v/>
      </c>
    </row>
    <row r="58" spans="1:68" ht="109.95" customHeight="1" thickBot="1">
      <c r="A58" s="306">
        <v>45</v>
      </c>
      <c r="B58" s="646" t="str">
        <f>IF(基本情報入力シート!B80="","",基本情報入力シート!B80)</f>
        <v/>
      </c>
      <c r="C58" s="647"/>
      <c r="D58" s="647"/>
      <c r="E58" s="647"/>
      <c r="F58" s="648"/>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53" t="str">
        <f>IF(基本情報入力シート!AF80=0, "",基本情報入力シート!AF80)</f>
        <v/>
      </c>
      <c r="M58" s="519" t="str">
        <f>IF('別紙様式2-2（個票（４、５月））'!M58="","",'別紙様式2-2（個票（４、５月））'!M58)</f>
        <v/>
      </c>
      <c r="N58" s="518" t="str">
        <f>IF('別紙様式2-2（個票（４、５月））'!N58="","",'別紙様式2-2（個票（４、５月））'!N58)</f>
        <v/>
      </c>
      <c r="O58" s="289"/>
      <c r="P58" s="549" t="str">
        <f>IFERROR(VLOOKUP(K58,【参考】数式用!$A$2:$M$57,MATCH(O58,【参考】数式用!$G$3:$M$3,0)+6,0),"")</f>
        <v/>
      </c>
      <c r="Q58" s="313" t="s">
        <v>113</v>
      </c>
      <c r="R58" s="311"/>
      <c r="S58" s="312" t="s">
        <v>178</v>
      </c>
      <c r="T58" s="311"/>
      <c r="U58" s="312" t="s">
        <v>179</v>
      </c>
      <c r="V58" s="311"/>
      <c r="W58" s="312" t="s">
        <v>178</v>
      </c>
      <c r="X58" s="311"/>
      <c r="Y58" s="312" t="s">
        <v>115</v>
      </c>
      <c r="Z58" s="312" t="s">
        <v>181</v>
      </c>
      <c r="AA58" s="312" t="str">
        <f t="shared" si="27"/>
        <v/>
      </c>
      <c r="AB58" s="308" t="s">
        <v>182</v>
      </c>
      <c r="AC58" s="309" t="str">
        <f t="shared" si="11"/>
        <v/>
      </c>
      <c r="AD58" s="510" t="str">
        <f t="shared" si="12"/>
        <v/>
      </c>
      <c r="AE58" s="310" t="str">
        <f>IFERROR(ROUNDDOWN(ROUNDDOWN(ROUND(L58*VLOOKUP(K58,【参考】数式用!$A$2:$M$57,MATCH("処遇改善加算Ⅳ",【参考】数式用!$G$3:$M$3,0)+6,0),0),0)*AA58*0.5,0), "")</f>
        <v/>
      </c>
      <c r="AF58" s="321"/>
      <c r="AG58" s="322"/>
      <c r="AH58" s="322"/>
      <c r="AI58" s="321"/>
      <c r="AJ58" s="323"/>
      <c r="AK58" s="329"/>
      <c r="AL58" s="327" t="str">
        <f t="shared" si="28"/>
        <v/>
      </c>
      <c r="AM58" s="328" t="str">
        <f t="shared" si="13"/>
        <v/>
      </c>
      <c r="AN58" s="258"/>
      <c r="AO58" s="551" t="str">
        <f>IFERROR(VLOOKUP(K58,【参考】数式用!$A$2:$N$57,14,FALSE),"")</f>
        <v/>
      </c>
      <c r="AP58" s="551" t="str">
        <f t="shared" si="14"/>
        <v/>
      </c>
      <c r="AQ58" s="556" t="str">
        <f t="shared" si="29"/>
        <v/>
      </c>
      <c r="AR58" s="556" t="str">
        <f t="shared" si="26"/>
        <v>キャリアパス要件Ⅰ・Ⅱ_</v>
      </c>
      <c r="AS58" s="534" t="str">
        <f t="shared" si="30"/>
        <v>入力済</v>
      </c>
      <c r="AT58" s="551" t="str">
        <f t="shared" si="15"/>
        <v/>
      </c>
      <c r="AU58" s="534" t="str">
        <f t="shared" si="31"/>
        <v>入力済</v>
      </c>
      <c r="AV58" s="534" t="str">
        <f t="shared" si="32"/>
        <v/>
      </c>
      <c r="AW58" s="534" t="str">
        <f t="shared" si="16"/>
        <v/>
      </c>
      <c r="AX58" s="551" t="str">
        <f t="shared" si="33"/>
        <v/>
      </c>
      <c r="AY58" s="534" t="str">
        <f>IFERROR(VLOOKUP(K58,【参考】数式用!$AR$3:$AS$49, 2, FALSE), "")</f>
        <v/>
      </c>
      <c r="AZ58" s="551" t="str">
        <f t="shared" si="17"/>
        <v/>
      </c>
      <c r="BA58" s="555" t="str">
        <f t="shared" si="34"/>
        <v>入力済</v>
      </c>
      <c r="BB58" s="534" t="str">
        <f>IFERROR(VLOOKUP(K58,【参考】数式用!$AX$3:$AY$59, 2, FALSE), "")</f>
        <v/>
      </c>
      <c r="BC58" s="551" t="str">
        <f t="shared" si="18"/>
        <v/>
      </c>
      <c r="BD58" s="555" t="str">
        <f t="shared" si="35"/>
        <v>入力済</v>
      </c>
      <c r="BE58" s="555" t="str">
        <f t="shared" si="19"/>
        <v/>
      </c>
      <c r="BF58" s="555" t="str">
        <f t="shared" si="20"/>
        <v/>
      </c>
      <c r="BG58" s="555" t="str">
        <f t="shared" si="21"/>
        <v/>
      </c>
      <c r="BH58" s="555" t="str">
        <f t="shared" si="36"/>
        <v/>
      </c>
      <c r="BI58" s="555" t="str">
        <f t="shared" si="37"/>
        <v/>
      </c>
      <c r="BL58" t="str">
        <f t="shared" si="22"/>
        <v/>
      </c>
      <c r="BM58" t="str">
        <f t="shared" si="23"/>
        <v/>
      </c>
      <c r="BN58" t="str">
        <f t="shared" si="24"/>
        <v/>
      </c>
      <c r="BO58" s="562" t="str">
        <f>IF(BN58="対象",ROUNDDOWN(L58*VLOOKUP(K58,【参考】数式用!$A$4:$J$42,10,FALSE)*AA58,0),"")</f>
        <v/>
      </c>
      <c r="BP58" t="str">
        <f t="shared" si="25"/>
        <v/>
      </c>
    </row>
    <row r="59" spans="1:68" ht="109.95" customHeight="1" thickBot="1">
      <c r="A59" s="306">
        <v>46</v>
      </c>
      <c r="B59" s="646" t="str">
        <f>IF(基本情報入力シート!B81="","",基本情報入力シート!B81)</f>
        <v/>
      </c>
      <c r="C59" s="647"/>
      <c r="D59" s="647"/>
      <c r="E59" s="647"/>
      <c r="F59" s="648"/>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53" t="str">
        <f>IF(基本情報入力シート!AF81=0, "",基本情報入力シート!AF81)</f>
        <v/>
      </c>
      <c r="M59" s="519" t="str">
        <f>IF('別紙様式2-2（個票（４、５月））'!M59="","",'別紙様式2-2（個票（４、５月））'!M59)</f>
        <v/>
      </c>
      <c r="N59" s="518" t="str">
        <f>IF('別紙様式2-2（個票（４、５月））'!N59="","",'別紙様式2-2（個票（４、５月））'!N59)</f>
        <v/>
      </c>
      <c r="O59" s="289"/>
      <c r="P59" s="549" t="str">
        <f>IFERROR(VLOOKUP(K59,【参考】数式用!$A$2:$M$57,MATCH(O59,【参考】数式用!$G$3:$M$3,0)+6,0),"")</f>
        <v/>
      </c>
      <c r="Q59" s="313" t="s">
        <v>113</v>
      </c>
      <c r="R59" s="311"/>
      <c r="S59" s="312" t="s">
        <v>178</v>
      </c>
      <c r="T59" s="311"/>
      <c r="U59" s="312" t="s">
        <v>179</v>
      </c>
      <c r="V59" s="311"/>
      <c r="W59" s="312" t="s">
        <v>178</v>
      </c>
      <c r="X59" s="311"/>
      <c r="Y59" s="312" t="s">
        <v>180</v>
      </c>
      <c r="Z59" s="312" t="s">
        <v>181</v>
      </c>
      <c r="AA59" s="312" t="str">
        <f t="shared" si="27"/>
        <v/>
      </c>
      <c r="AB59" s="308" t="s">
        <v>182</v>
      </c>
      <c r="AC59" s="309" t="str">
        <f t="shared" si="11"/>
        <v/>
      </c>
      <c r="AD59" s="510" t="str">
        <f t="shared" si="12"/>
        <v/>
      </c>
      <c r="AE59" s="310" t="str">
        <f>IFERROR(ROUNDDOWN(ROUNDDOWN(ROUND(L59*VLOOKUP(K59,【参考】数式用!$A$2:$M$57,MATCH("処遇改善加算Ⅳ",【参考】数式用!$G$3:$M$3,0)+6,0),0),0)*AA59*0.5,0), "")</f>
        <v/>
      </c>
      <c r="AF59" s="321"/>
      <c r="AG59" s="322"/>
      <c r="AH59" s="322"/>
      <c r="AI59" s="321"/>
      <c r="AJ59" s="323"/>
      <c r="AK59" s="329"/>
      <c r="AL59" s="327" t="str">
        <f t="shared" si="28"/>
        <v/>
      </c>
      <c r="AM59" s="328" t="str">
        <f t="shared" si="13"/>
        <v/>
      </c>
      <c r="AN59" s="258"/>
      <c r="AO59" s="551" t="str">
        <f>IFERROR(VLOOKUP(K59,【参考】数式用!$A$2:$N$57,14,FALSE),"")</f>
        <v/>
      </c>
      <c r="AP59" s="551" t="str">
        <f t="shared" si="14"/>
        <v/>
      </c>
      <c r="AQ59" s="556" t="str">
        <f t="shared" si="29"/>
        <v/>
      </c>
      <c r="AR59" s="556" t="str">
        <f t="shared" si="26"/>
        <v>キャリアパス要件Ⅰ・Ⅱ_</v>
      </c>
      <c r="AS59" s="534" t="str">
        <f t="shared" si="30"/>
        <v>入力済</v>
      </c>
      <c r="AT59" s="551" t="str">
        <f t="shared" si="15"/>
        <v/>
      </c>
      <c r="AU59" s="534" t="str">
        <f t="shared" si="31"/>
        <v>入力済</v>
      </c>
      <c r="AV59" s="534" t="str">
        <f t="shared" si="32"/>
        <v/>
      </c>
      <c r="AW59" s="534" t="str">
        <f t="shared" si="16"/>
        <v/>
      </c>
      <c r="AX59" s="551" t="str">
        <f t="shared" si="33"/>
        <v/>
      </c>
      <c r="AY59" s="534" t="str">
        <f>IFERROR(VLOOKUP(K59,【参考】数式用!$AR$3:$AS$49, 2, FALSE), "")</f>
        <v/>
      </c>
      <c r="AZ59" s="551" t="str">
        <f t="shared" si="17"/>
        <v/>
      </c>
      <c r="BA59" s="555" t="str">
        <f t="shared" si="34"/>
        <v>入力済</v>
      </c>
      <c r="BB59" s="534" t="str">
        <f>IFERROR(VLOOKUP(K59,【参考】数式用!$AX$3:$AY$59, 2, FALSE), "")</f>
        <v/>
      </c>
      <c r="BC59" s="551" t="str">
        <f t="shared" si="18"/>
        <v/>
      </c>
      <c r="BD59" s="555" t="str">
        <f t="shared" si="35"/>
        <v>入力済</v>
      </c>
      <c r="BE59" s="555" t="str">
        <f t="shared" si="19"/>
        <v/>
      </c>
      <c r="BF59" s="555" t="str">
        <f t="shared" si="20"/>
        <v/>
      </c>
      <c r="BG59" s="555" t="str">
        <f t="shared" si="21"/>
        <v/>
      </c>
      <c r="BH59" s="555" t="str">
        <f t="shared" si="36"/>
        <v/>
      </c>
      <c r="BI59" s="555" t="str">
        <f t="shared" si="37"/>
        <v/>
      </c>
      <c r="BL59" t="str">
        <f t="shared" si="22"/>
        <v/>
      </c>
      <c r="BM59" t="str">
        <f t="shared" si="23"/>
        <v/>
      </c>
      <c r="BN59" t="str">
        <f t="shared" si="24"/>
        <v/>
      </c>
      <c r="BO59" s="562" t="str">
        <f>IF(BN59="対象",ROUNDDOWN(L59*VLOOKUP(K59,【参考】数式用!$A$4:$J$42,10,FALSE)*AA59,0),"")</f>
        <v/>
      </c>
      <c r="BP59" t="str">
        <f t="shared" si="25"/>
        <v/>
      </c>
    </row>
    <row r="60" spans="1:68" ht="109.95" customHeight="1" thickBot="1">
      <c r="A60" s="306">
        <v>47</v>
      </c>
      <c r="B60" s="646" t="str">
        <f>IF(基本情報入力シート!B82="","",基本情報入力シート!B82)</f>
        <v/>
      </c>
      <c r="C60" s="647"/>
      <c r="D60" s="647"/>
      <c r="E60" s="647"/>
      <c r="F60" s="648"/>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53" t="str">
        <f>IF(基本情報入力シート!AF82=0, "",基本情報入力シート!AF82)</f>
        <v/>
      </c>
      <c r="M60" s="519" t="str">
        <f>IF('別紙様式2-2（個票（４、５月））'!M60="","",'別紙様式2-2（個票（４、５月））'!M60)</f>
        <v/>
      </c>
      <c r="N60" s="518" t="str">
        <f>IF('別紙様式2-2（個票（４、５月））'!N60="","",'別紙様式2-2（個票（４、５月））'!N60)</f>
        <v/>
      </c>
      <c r="O60" s="289"/>
      <c r="P60" s="549" t="str">
        <f>IFERROR(VLOOKUP(K60,【参考】数式用!$A$2:$M$57,MATCH(O60,【参考】数式用!$G$3:$M$3,0)+6,0),"")</f>
        <v/>
      </c>
      <c r="Q60" s="313" t="s">
        <v>113</v>
      </c>
      <c r="R60" s="311"/>
      <c r="S60" s="312" t="s">
        <v>178</v>
      </c>
      <c r="T60" s="311"/>
      <c r="U60" s="312" t="s">
        <v>179</v>
      </c>
      <c r="V60" s="311"/>
      <c r="W60" s="312" t="s">
        <v>178</v>
      </c>
      <c r="X60" s="311"/>
      <c r="Y60" s="312" t="s">
        <v>180</v>
      </c>
      <c r="Z60" s="312" t="s">
        <v>181</v>
      </c>
      <c r="AA60" s="312" t="str">
        <f t="shared" si="27"/>
        <v/>
      </c>
      <c r="AB60" s="308" t="s">
        <v>182</v>
      </c>
      <c r="AC60" s="309" t="str">
        <f t="shared" si="11"/>
        <v/>
      </c>
      <c r="AD60" s="510" t="str">
        <f t="shared" si="12"/>
        <v/>
      </c>
      <c r="AE60" s="310" t="str">
        <f>IFERROR(ROUNDDOWN(ROUNDDOWN(ROUND(L60*VLOOKUP(K60,【参考】数式用!$A$2:$M$57,MATCH("処遇改善加算Ⅳ",【参考】数式用!$G$3:$M$3,0)+6,0),0),0)*AA60*0.5,0), "")</f>
        <v/>
      </c>
      <c r="AF60" s="321"/>
      <c r="AG60" s="322"/>
      <c r="AH60" s="322"/>
      <c r="AI60" s="321"/>
      <c r="AJ60" s="323"/>
      <c r="AK60" s="329"/>
      <c r="AL60" s="327" t="str">
        <f t="shared" si="28"/>
        <v/>
      </c>
      <c r="AM60" s="328" t="str">
        <f t="shared" si="13"/>
        <v/>
      </c>
      <c r="AN60" s="258"/>
      <c r="AO60" s="551" t="str">
        <f>IFERROR(VLOOKUP(K60,【参考】数式用!$A$2:$N$57,14,FALSE),"")</f>
        <v/>
      </c>
      <c r="AP60" s="551" t="str">
        <f t="shared" si="14"/>
        <v/>
      </c>
      <c r="AQ60" s="556" t="str">
        <f t="shared" si="29"/>
        <v/>
      </c>
      <c r="AR60" s="556" t="str">
        <f t="shared" si="26"/>
        <v>キャリアパス要件Ⅰ・Ⅱ_</v>
      </c>
      <c r="AS60" s="534" t="str">
        <f t="shared" si="30"/>
        <v>入力済</v>
      </c>
      <c r="AT60" s="551" t="str">
        <f t="shared" si="15"/>
        <v/>
      </c>
      <c r="AU60" s="534" t="str">
        <f t="shared" si="31"/>
        <v>入力済</v>
      </c>
      <c r="AV60" s="534" t="str">
        <f t="shared" si="32"/>
        <v/>
      </c>
      <c r="AW60" s="534" t="str">
        <f t="shared" si="16"/>
        <v/>
      </c>
      <c r="AX60" s="551" t="str">
        <f t="shared" si="33"/>
        <v/>
      </c>
      <c r="AY60" s="534" t="str">
        <f>IFERROR(VLOOKUP(K60,【参考】数式用!$AR$3:$AS$49, 2, FALSE), "")</f>
        <v/>
      </c>
      <c r="AZ60" s="551" t="str">
        <f t="shared" si="17"/>
        <v/>
      </c>
      <c r="BA60" s="555" t="str">
        <f t="shared" si="34"/>
        <v>入力済</v>
      </c>
      <c r="BB60" s="534" t="str">
        <f>IFERROR(VLOOKUP(K60,【参考】数式用!$AX$3:$AY$59, 2, FALSE), "")</f>
        <v/>
      </c>
      <c r="BC60" s="551" t="str">
        <f t="shared" si="18"/>
        <v/>
      </c>
      <c r="BD60" s="555" t="str">
        <f t="shared" si="35"/>
        <v>入力済</v>
      </c>
      <c r="BE60" s="555" t="str">
        <f t="shared" si="19"/>
        <v/>
      </c>
      <c r="BF60" s="555" t="str">
        <f t="shared" si="20"/>
        <v/>
      </c>
      <c r="BG60" s="555" t="str">
        <f t="shared" si="21"/>
        <v/>
      </c>
      <c r="BH60" s="555" t="str">
        <f t="shared" si="36"/>
        <v/>
      </c>
      <c r="BI60" s="555" t="str">
        <f t="shared" si="37"/>
        <v/>
      </c>
      <c r="BL60" t="str">
        <f t="shared" si="22"/>
        <v/>
      </c>
      <c r="BM60" t="str">
        <f t="shared" si="23"/>
        <v/>
      </c>
      <c r="BN60" t="str">
        <f t="shared" si="24"/>
        <v/>
      </c>
      <c r="BO60" s="562" t="str">
        <f>IF(BN60="対象",ROUNDDOWN(L60*VLOOKUP(K60,【参考】数式用!$A$4:$J$42,10,FALSE)*AA60,0),"")</f>
        <v/>
      </c>
      <c r="BP60" t="str">
        <f t="shared" si="25"/>
        <v/>
      </c>
    </row>
    <row r="61" spans="1:68" ht="109.95" customHeight="1" thickBot="1">
      <c r="A61" s="306">
        <v>48</v>
      </c>
      <c r="B61" s="646" t="str">
        <f>IF(基本情報入力シート!B83="","",基本情報入力シート!B83)</f>
        <v/>
      </c>
      <c r="C61" s="647"/>
      <c r="D61" s="647"/>
      <c r="E61" s="647"/>
      <c r="F61" s="648"/>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53" t="str">
        <f>IF(基本情報入力シート!AF83=0, "",基本情報入力シート!AF83)</f>
        <v/>
      </c>
      <c r="M61" s="519" t="str">
        <f>IF('別紙様式2-2（個票（４、５月））'!M61="","",'別紙様式2-2（個票（４、５月））'!M61)</f>
        <v/>
      </c>
      <c r="N61" s="518" t="str">
        <f>IF('別紙様式2-2（個票（４、５月））'!N61="","",'別紙様式2-2（個票（４、５月））'!N61)</f>
        <v/>
      </c>
      <c r="O61" s="289"/>
      <c r="P61" s="549" t="str">
        <f>IFERROR(VLOOKUP(K61,【参考】数式用!$A$2:$M$57,MATCH(O61,【参考】数式用!$G$3:$M$3,0)+6,0),"")</f>
        <v/>
      </c>
      <c r="Q61" s="313" t="s">
        <v>113</v>
      </c>
      <c r="R61" s="311"/>
      <c r="S61" s="312" t="s">
        <v>178</v>
      </c>
      <c r="T61" s="311"/>
      <c r="U61" s="312" t="s">
        <v>179</v>
      </c>
      <c r="V61" s="311"/>
      <c r="W61" s="312" t="s">
        <v>178</v>
      </c>
      <c r="X61" s="311"/>
      <c r="Y61" s="312" t="s">
        <v>180</v>
      </c>
      <c r="Z61" s="312" t="s">
        <v>181</v>
      </c>
      <c r="AA61" s="312" t="str">
        <f t="shared" si="27"/>
        <v/>
      </c>
      <c r="AB61" s="308" t="s">
        <v>182</v>
      </c>
      <c r="AC61" s="309" t="str">
        <f t="shared" si="11"/>
        <v/>
      </c>
      <c r="AD61" s="510" t="str">
        <f t="shared" si="12"/>
        <v/>
      </c>
      <c r="AE61" s="310" t="str">
        <f>IFERROR(ROUNDDOWN(ROUNDDOWN(ROUND(L61*VLOOKUP(K61,【参考】数式用!$A$2:$M$57,MATCH("処遇改善加算Ⅳ",【参考】数式用!$G$3:$M$3,0)+6,0),0),0)*AA61*0.5,0), "")</f>
        <v/>
      </c>
      <c r="AF61" s="321"/>
      <c r="AG61" s="322"/>
      <c r="AH61" s="322"/>
      <c r="AI61" s="321"/>
      <c r="AJ61" s="323"/>
      <c r="AK61" s="329"/>
      <c r="AL61" s="327" t="str">
        <f t="shared" si="28"/>
        <v/>
      </c>
      <c r="AM61" s="328" t="str">
        <f t="shared" si="13"/>
        <v/>
      </c>
      <c r="AN61" s="258"/>
      <c r="AO61" s="551" t="str">
        <f>IFERROR(VLOOKUP(K61,【参考】数式用!$A$2:$N$57,14,FALSE),"")</f>
        <v/>
      </c>
      <c r="AP61" s="551" t="str">
        <f t="shared" si="14"/>
        <v/>
      </c>
      <c r="AQ61" s="556" t="str">
        <f t="shared" si="29"/>
        <v/>
      </c>
      <c r="AR61" s="556" t="str">
        <f t="shared" si="26"/>
        <v>キャリアパス要件Ⅰ・Ⅱ_</v>
      </c>
      <c r="AS61" s="534" t="str">
        <f t="shared" si="30"/>
        <v>入力済</v>
      </c>
      <c r="AT61" s="551" t="str">
        <f t="shared" si="15"/>
        <v/>
      </c>
      <c r="AU61" s="534" t="str">
        <f t="shared" si="31"/>
        <v>入力済</v>
      </c>
      <c r="AV61" s="534" t="str">
        <f t="shared" si="32"/>
        <v/>
      </c>
      <c r="AW61" s="534" t="str">
        <f t="shared" si="16"/>
        <v/>
      </c>
      <c r="AX61" s="551" t="str">
        <f t="shared" si="33"/>
        <v/>
      </c>
      <c r="AY61" s="534" t="str">
        <f>IFERROR(VLOOKUP(K61,【参考】数式用!$AR$3:$AS$49, 2, FALSE), "")</f>
        <v/>
      </c>
      <c r="AZ61" s="551" t="str">
        <f t="shared" si="17"/>
        <v/>
      </c>
      <c r="BA61" s="555" t="str">
        <f t="shared" si="34"/>
        <v>入力済</v>
      </c>
      <c r="BB61" s="534" t="str">
        <f>IFERROR(VLOOKUP(K61,【参考】数式用!$AX$3:$AY$59, 2, FALSE), "")</f>
        <v/>
      </c>
      <c r="BC61" s="551" t="str">
        <f t="shared" si="18"/>
        <v/>
      </c>
      <c r="BD61" s="555" t="str">
        <f t="shared" si="35"/>
        <v>入力済</v>
      </c>
      <c r="BE61" s="555" t="str">
        <f t="shared" si="19"/>
        <v/>
      </c>
      <c r="BF61" s="555" t="str">
        <f t="shared" si="20"/>
        <v/>
      </c>
      <c r="BG61" s="555" t="str">
        <f t="shared" si="21"/>
        <v/>
      </c>
      <c r="BH61" s="555" t="str">
        <f t="shared" si="36"/>
        <v/>
      </c>
      <c r="BI61" s="555" t="str">
        <f t="shared" si="37"/>
        <v/>
      </c>
      <c r="BL61" t="str">
        <f t="shared" si="22"/>
        <v/>
      </c>
      <c r="BM61" t="str">
        <f t="shared" si="23"/>
        <v/>
      </c>
      <c r="BN61" t="str">
        <f t="shared" si="24"/>
        <v/>
      </c>
      <c r="BO61" s="562" t="str">
        <f>IF(BN61="対象",ROUNDDOWN(L61*VLOOKUP(K61,【参考】数式用!$A$4:$J$42,10,FALSE)*AA61,0),"")</f>
        <v/>
      </c>
      <c r="BP61" t="str">
        <f t="shared" si="25"/>
        <v/>
      </c>
    </row>
    <row r="62" spans="1:68" ht="109.95" customHeight="1" thickBot="1">
      <c r="A62" s="306">
        <v>49</v>
      </c>
      <c r="B62" s="646" t="str">
        <f>IF(基本情報入力シート!B84="","",基本情報入力シート!B84)</f>
        <v/>
      </c>
      <c r="C62" s="647"/>
      <c r="D62" s="647"/>
      <c r="E62" s="647"/>
      <c r="F62" s="648"/>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53" t="str">
        <f>IF(基本情報入力シート!AF84=0, "",基本情報入力シート!AF84)</f>
        <v/>
      </c>
      <c r="M62" s="519" t="str">
        <f>IF('別紙様式2-2（個票（４、５月））'!M62="","",'別紙様式2-2（個票（４、５月））'!M62)</f>
        <v/>
      </c>
      <c r="N62" s="518" t="str">
        <f>IF('別紙様式2-2（個票（４、５月））'!N62="","",'別紙様式2-2（個票（４、５月））'!N62)</f>
        <v/>
      </c>
      <c r="O62" s="289"/>
      <c r="P62" s="549" t="str">
        <f>IFERROR(VLOOKUP(K62,【参考】数式用!$A$2:$M$57,MATCH(O62,【参考】数式用!$G$3:$M$3,0)+6,0),"")</f>
        <v/>
      </c>
      <c r="Q62" s="313" t="s">
        <v>113</v>
      </c>
      <c r="R62" s="311"/>
      <c r="S62" s="312" t="s">
        <v>178</v>
      </c>
      <c r="T62" s="311"/>
      <c r="U62" s="312" t="s">
        <v>179</v>
      </c>
      <c r="V62" s="311"/>
      <c r="W62" s="312" t="s">
        <v>178</v>
      </c>
      <c r="X62" s="311"/>
      <c r="Y62" s="312" t="s">
        <v>115</v>
      </c>
      <c r="Z62" s="312" t="s">
        <v>181</v>
      </c>
      <c r="AA62" s="312" t="str">
        <f t="shared" si="27"/>
        <v/>
      </c>
      <c r="AB62" s="308" t="s">
        <v>182</v>
      </c>
      <c r="AC62" s="309" t="str">
        <f t="shared" si="11"/>
        <v/>
      </c>
      <c r="AD62" s="510" t="str">
        <f t="shared" si="12"/>
        <v/>
      </c>
      <c r="AE62" s="310" t="str">
        <f>IFERROR(ROUNDDOWN(ROUNDDOWN(ROUND(L62*VLOOKUP(K62,【参考】数式用!$A$2:$M$57,MATCH("処遇改善加算Ⅳ",【参考】数式用!$G$3:$M$3,0)+6,0),0),0)*AA62*0.5,0), "")</f>
        <v/>
      </c>
      <c r="AF62" s="321"/>
      <c r="AG62" s="322"/>
      <c r="AH62" s="322"/>
      <c r="AI62" s="321"/>
      <c r="AJ62" s="323"/>
      <c r="AK62" s="329"/>
      <c r="AL62" s="327" t="str">
        <f t="shared" si="28"/>
        <v/>
      </c>
      <c r="AM62" s="328" t="str">
        <f t="shared" si="13"/>
        <v/>
      </c>
      <c r="AN62" s="258"/>
      <c r="AO62" s="551" t="str">
        <f>IFERROR(VLOOKUP(K62,【参考】数式用!$A$2:$N$57,14,FALSE),"")</f>
        <v/>
      </c>
      <c r="AP62" s="551" t="str">
        <f t="shared" si="14"/>
        <v/>
      </c>
      <c r="AQ62" s="556" t="str">
        <f t="shared" si="29"/>
        <v/>
      </c>
      <c r="AR62" s="556" t="str">
        <f t="shared" si="26"/>
        <v>キャリアパス要件Ⅰ・Ⅱ_</v>
      </c>
      <c r="AS62" s="534" t="str">
        <f t="shared" si="30"/>
        <v>入力済</v>
      </c>
      <c r="AT62" s="551" t="str">
        <f t="shared" si="15"/>
        <v/>
      </c>
      <c r="AU62" s="534" t="str">
        <f t="shared" si="31"/>
        <v>入力済</v>
      </c>
      <c r="AV62" s="534" t="str">
        <f t="shared" si="32"/>
        <v/>
      </c>
      <c r="AW62" s="534" t="str">
        <f t="shared" si="16"/>
        <v/>
      </c>
      <c r="AX62" s="551" t="str">
        <f t="shared" si="33"/>
        <v/>
      </c>
      <c r="AY62" s="534" t="str">
        <f>IFERROR(VLOOKUP(K62,【参考】数式用!$AR$3:$AS$49, 2, FALSE), "")</f>
        <v/>
      </c>
      <c r="AZ62" s="551" t="str">
        <f t="shared" si="17"/>
        <v/>
      </c>
      <c r="BA62" s="555" t="str">
        <f t="shared" si="34"/>
        <v>入力済</v>
      </c>
      <c r="BB62" s="534" t="str">
        <f>IFERROR(VLOOKUP(K62,【参考】数式用!$AX$3:$AY$59, 2, FALSE), "")</f>
        <v/>
      </c>
      <c r="BC62" s="551" t="str">
        <f t="shared" si="18"/>
        <v/>
      </c>
      <c r="BD62" s="555" t="str">
        <f t="shared" si="35"/>
        <v>入力済</v>
      </c>
      <c r="BE62" s="555" t="str">
        <f t="shared" si="19"/>
        <v/>
      </c>
      <c r="BF62" s="555" t="str">
        <f t="shared" si="20"/>
        <v/>
      </c>
      <c r="BG62" s="555" t="str">
        <f t="shared" si="21"/>
        <v/>
      </c>
      <c r="BH62" s="555" t="str">
        <f t="shared" si="36"/>
        <v/>
      </c>
      <c r="BI62" s="555" t="str">
        <f t="shared" si="37"/>
        <v/>
      </c>
      <c r="BL62" t="str">
        <f t="shared" si="22"/>
        <v/>
      </c>
      <c r="BM62" t="str">
        <f t="shared" si="23"/>
        <v/>
      </c>
      <c r="BN62" t="str">
        <f t="shared" si="24"/>
        <v/>
      </c>
      <c r="BO62" s="562" t="str">
        <f>IF(BN62="対象",ROUNDDOWN(L62*VLOOKUP(K62,【参考】数式用!$A$4:$J$42,10,FALSE)*AA62,0),"")</f>
        <v/>
      </c>
      <c r="BP62" t="str">
        <f t="shared" si="25"/>
        <v/>
      </c>
    </row>
    <row r="63" spans="1:68" ht="109.95" customHeight="1" thickBot="1">
      <c r="A63" s="306">
        <v>50</v>
      </c>
      <c r="B63" s="646" t="str">
        <f>IF(基本情報入力シート!B85="","",基本情報入力シート!B85)</f>
        <v/>
      </c>
      <c r="C63" s="647"/>
      <c r="D63" s="647"/>
      <c r="E63" s="647"/>
      <c r="F63" s="648"/>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53" t="str">
        <f>IF(基本情報入力シート!AF85=0, "",基本情報入力シート!AF85)</f>
        <v/>
      </c>
      <c r="M63" s="519" t="str">
        <f>IF('別紙様式2-2（個票（４、５月））'!M63="","",'別紙様式2-2（個票（４、５月））'!M63)</f>
        <v/>
      </c>
      <c r="N63" s="518" t="str">
        <f>IF('別紙様式2-2（個票（４、５月））'!N63="","",'別紙様式2-2（個票（４、５月））'!N63)</f>
        <v/>
      </c>
      <c r="O63" s="289"/>
      <c r="P63" s="549" t="str">
        <f>IFERROR(VLOOKUP(K63,【参考】数式用!$A$2:$M$57,MATCH(O63,【参考】数式用!$G$3:$M$3,0)+6,0),"")</f>
        <v/>
      </c>
      <c r="Q63" s="313" t="s">
        <v>113</v>
      </c>
      <c r="R63" s="311"/>
      <c r="S63" s="312" t="s">
        <v>178</v>
      </c>
      <c r="T63" s="311"/>
      <c r="U63" s="312" t="s">
        <v>179</v>
      </c>
      <c r="V63" s="311"/>
      <c r="W63" s="312" t="s">
        <v>178</v>
      </c>
      <c r="X63" s="311"/>
      <c r="Y63" s="312" t="s">
        <v>115</v>
      </c>
      <c r="Z63" s="312" t="s">
        <v>181</v>
      </c>
      <c r="AA63" s="312" t="str">
        <f t="shared" si="27"/>
        <v/>
      </c>
      <c r="AB63" s="308" t="s">
        <v>182</v>
      </c>
      <c r="AC63" s="309" t="str">
        <f t="shared" si="11"/>
        <v/>
      </c>
      <c r="AD63" s="510" t="str">
        <f t="shared" si="12"/>
        <v/>
      </c>
      <c r="AE63" s="310" t="str">
        <f>IFERROR(ROUNDDOWN(ROUNDDOWN(ROUND(L63*VLOOKUP(K63,【参考】数式用!$A$2:$M$57,MATCH("処遇改善加算Ⅳ",【参考】数式用!$G$3:$M$3,0)+6,0),0),0)*AA63*0.5,0), "")</f>
        <v/>
      </c>
      <c r="AF63" s="321"/>
      <c r="AG63" s="322"/>
      <c r="AH63" s="322"/>
      <c r="AI63" s="321"/>
      <c r="AJ63" s="323"/>
      <c r="AK63" s="329"/>
      <c r="AL63" s="327" t="str">
        <f t="shared" si="28"/>
        <v/>
      </c>
      <c r="AM63" s="328" t="str">
        <f t="shared" si="13"/>
        <v/>
      </c>
      <c r="AN63" s="258"/>
      <c r="AO63" s="551" t="str">
        <f>IFERROR(VLOOKUP(K63,【参考】数式用!$A$2:$N$57,14,FALSE),"")</f>
        <v/>
      </c>
      <c r="AP63" s="551" t="str">
        <f t="shared" si="14"/>
        <v/>
      </c>
      <c r="AQ63" s="556" t="str">
        <f t="shared" si="29"/>
        <v/>
      </c>
      <c r="AR63" s="556" t="str">
        <f t="shared" si="26"/>
        <v>キャリアパス要件Ⅰ・Ⅱ_</v>
      </c>
      <c r="AS63" s="534" t="str">
        <f t="shared" si="30"/>
        <v>入力済</v>
      </c>
      <c r="AT63" s="551" t="str">
        <f t="shared" si="15"/>
        <v/>
      </c>
      <c r="AU63" s="534" t="str">
        <f t="shared" si="31"/>
        <v>入力済</v>
      </c>
      <c r="AV63" s="534" t="str">
        <f t="shared" si="32"/>
        <v/>
      </c>
      <c r="AW63" s="534" t="str">
        <f t="shared" si="16"/>
        <v/>
      </c>
      <c r="AX63" s="551" t="str">
        <f t="shared" si="33"/>
        <v/>
      </c>
      <c r="AY63" s="534" t="str">
        <f>IFERROR(VLOOKUP(K63,【参考】数式用!$AR$3:$AS$49, 2, FALSE), "")</f>
        <v/>
      </c>
      <c r="AZ63" s="551" t="str">
        <f t="shared" si="17"/>
        <v/>
      </c>
      <c r="BA63" s="555" t="str">
        <f t="shared" si="34"/>
        <v>入力済</v>
      </c>
      <c r="BB63" s="534" t="str">
        <f>IFERROR(VLOOKUP(K63,【参考】数式用!$AX$3:$AY$59, 2, FALSE), "")</f>
        <v/>
      </c>
      <c r="BC63" s="551" t="str">
        <f t="shared" si="18"/>
        <v/>
      </c>
      <c r="BD63" s="555" t="str">
        <f t="shared" si="35"/>
        <v>入力済</v>
      </c>
      <c r="BE63" s="555" t="str">
        <f t="shared" si="19"/>
        <v/>
      </c>
      <c r="BF63" s="555" t="str">
        <f t="shared" si="20"/>
        <v/>
      </c>
      <c r="BG63" s="555" t="str">
        <f t="shared" si="21"/>
        <v/>
      </c>
      <c r="BH63" s="555" t="str">
        <f t="shared" si="36"/>
        <v/>
      </c>
      <c r="BI63" s="555" t="str">
        <f t="shared" si="37"/>
        <v/>
      </c>
      <c r="BL63" t="str">
        <f t="shared" si="22"/>
        <v/>
      </c>
      <c r="BM63" t="str">
        <f t="shared" si="23"/>
        <v/>
      </c>
      <c r="BN63" t="str">
        <f t="shared" si="24"/>
        <v/>
      </c>
      <c r="BO63" s="562" t="str">
        <f>IF(BN63="対象",ROUNDDOWN(L63*VLOOKUP(K63,【参考】数式用!$A$4:$J$42,10,FALSE)*AA63,0),"")</f>
        <v/>
      </c>
      <c r="BP63" t="str">
        <f t="shared" si="25"/>
        <v/>
      </c>
    </row>
    <row r="64" spans="1:68" ht="109.95" customHeight="1" thickBot="1">
      <c r="A64" s="306">
        <v>51</v>
      </c>
      <c r="B64" s="646" t="str">
        <f>IF(基本情報入力シート!B86="","",基本情報入力シート!B86)</f>
        <v/>
      </c>
      <c r="C64" s="647"/>
      <c r="D64" s="647"/>
      <c r="E64" s="647"/>
      <c r="F64" s="648"/>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53" t="str">
        <f>IF(基本情報入力シート!AF86=0, "",基本情報入力シート!AF86)</f>
        <v/>
      </c>
      <c r="M64" s="519" t="str">
        <f>IF('別紙様式2-2（個票（４、５月））'!M64="","",'別紙様式2-2（個票（４、５月））'!M64)</f>
        <v/>
      </c>
      <c r="N64" s="518" t="str">
        <f>IF('別紙様式2-2（個票（４、５月））'!N64="","",'別紙様式2-2（個票（４、５月））'!N64)</f>
        <v/>
      </c>
      <c r="O64" s="289"/>
      <c r="P64" s="549" t="str">
        <f>IFERROR(VLOOKUP(K64,【参考】数式用!$A$2:$M$57,MATCH(O64,【参考】数式用!$G$3:$M$3,0)+6,0),"")</f>
        <v/>
      </c>
      <c r="Q64" s="313" t="s">
        <v>113</v>
      </c>
      <c r="R64" s="311"/>
      <c r="S64" s="312" t="s">
        <v>178</v>
      </c>
      <c r="T64" s="311"/>
      <c r="U64" s="312" t="s">
        <v>179</v>
      </c>
      <c r="V64" s="311"/>
      <c r="W64" s="312" t="s">
        <v>178</v>
      </c>
      <c r="X64" s="311"/>
      <c r="Y64" s="312" t="s">
        <v>180</v>
      </c>
      <c r="Z64" s="312" t="s">
        <v>181</v>
      </c>
      <c r="AA64" s="312" t="str">
        <f t="shared" si="27"/>
        <v/>
      </c>
      <c r="AB64" s="308" t="s">
        <v>182</v>
      </c>
      <c r="AC64" s="309" t="str">
        <f t="shared" si="11"/>
        <v/>
      </c>
      <c r="AD64" s="510" t="str">
        <f t="shared" si="12"/>
        <v/>
      </c>
      <c r="AE64" s="310" t="str">
        <f>IFERROR(ROUNDDOWN(ROUNDDOWN(ROUND(L64*VLOOKUP(K64,【参考】数式用!$A$2:$M$57,MATCH("処遇改善加算Ⅳ",【参考】数式用!$G$3:$M$3,0)+6,0),0),0)*AA64*0.5,0), "")</f>
        <v/>
      </c>
      <c r="AF64" s="321"/>
      <c r="AG64" s="322"/>
      <c r="AH64" s="322"/>
      <c r="AI64" s="321"/>
      <c r="AJ64" s="323"/>
      <c r="AK64" s="329"/>
      <c r="AL64" s="327" t="str">
        <f t="shared" si="28"/>
        <v/>
      </c>
      <c r="AM64" s="328" t="str">
        <f t="shared" si="13"/>
        <v/>
      </c>
      <c r="AN64" s="258"/>
      <c r="AO64" s="551" t="str">
        <f>IFERROR(VLOOKUP(K64,【参考】数式用!$A$2:$N$57,14,FALSE),"")</f>
        <v/>
      </c>
      <c r="AP64" s="551" t="str">
        <f t="shared" si="14"/>
        <v/>
      </c>
      <c r="AQ64" s="556" t="str">
        <f t="shared" si="29"/>
        <v/>
      </c>
      <c r="AR64" s="556" t="str">
        <f t="shared" si="26"/>
        <v>キャリアパス要件Ⅰ・Ⅱ_</v>
      </c>
      <c r="AS64" s="534" t="str">
        <f t="shared" si="30"/>
        <v>入力済</v>
      </c>
      <c r="AT64" s="551" t="str">
        <f t="shared" si="15"/>
        <v/>
      </c>
      <c r="AU64" s="534" t="str">
        <f t="shared" si="31"/>
        <v>入力済</v>
      </c>
      <c r="AV64" s="534" t="str">
        <f t="shared" si="32"/>
        <v/>
      </c>
      <c r="AW64" s="534" t="str">
        <f t="shared" si="16"/>
        <v/>
      </c>
      <c r="AX64" s="551" t="str">
        <f t="shared" si="33"/>
        <v/>
      </c>
      <c r="AY64" s="534" t="str">
        <f>IFERROR(VLOOKUP(K64,【参考】数式用!$AR$3:$AS$49, 2, FALSE), "")</f>
        <v/>
      </c>
      <c r="AZ64" s="551" t="str">
        <f t="shared" si="17"/>
        <v/>
      </c>
      <c r="BA64" s="555" t="str">
        <f t="shared" si="34"/>
        <v>入力済</v>
      </c>
      <c r="BB64" s="534" t="str">
        <f>IFERROR(VLOOKUP(K64,【参考】数式用!$AX$3:$AY$59, 2, FALSE), "")</f>
        <v/>
      </c>
      <c r="BC64" s="551" t="str">
        <f t="shared" si="18"/>
        <v/>
      </c>
      <c r="BD64" s="555" t="str">
        <f t="shared" si="35"/>
        <v>入力済</v>
      </c>
      <c r="BE64" s="555" t="str">
        <f t="shared" si="19"/>
        <v/>
      </c>
      <c r="BF64" s="555" t="str">
        <f t="shared" si="20"/>
        <v/>
      </c>
      <c r="BG64" s="555" t="str">
        <f t="shared" si="21"/>
        <v/>
      </c>
      <c r="BH64" s="555" t="str">
        <f t="shared" si="36"/>
        <v/>
      </c>
      <c r="BI64" s="555" t="str">
        <f t="shared" si="37"/>
        <v/>
      </c>
      <c r="BL64" t="str">
        <f t="shared" si="22"/>
        <v/>
      </c>
      <c r="BM64" t="str">
        <f t="shared" si="23"/>
        <v/>
      </c>
      <c r="BN64" t="str">
        <f t="shared" si="24"/>
        <v/>
      </c>
      <c r="BO64" s="562" t="str">
        <f>IF(BN64="対象",ROUNDDOWN(L64*VLOOKUP(K64,【参考】数式用!$A$4:$J$42,10,FALSE)*AA64,0),"")</f>
        <v/>
      </c>
      <c r="BP64" t="str">
        <f t="shared" si="25"/>
        <v/>
      </c>
    </row>
    <row r="65" spans="1:68" ht="109.95" customHeight="1" thickBot="1">
      <c r="A65" s="306">
        <v>52</v>
      </c>
      <c r="B65" s="646" t="str">
        <f>IF(基本情報入力シート!B87="","",基本情報入力シート!B87)</f>
        <v/>
      </c>
      <c r="C65" s="647"/>
      <c r="D65" s="647"/>
      <c r="E65" s="647"/>
      <c r="F65" s="648"/>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53" t="str">
        <f>IF(基本情報入力シート!AF87=0, "",基本情報入力シート!AF87)</f>
        <v/>
      </c>
      <c r="M65" s="519" t="str">
        <f>IF('別紙様式2-2（個票（４、５月））'!M65="","",'別紙様式2-2（個票（４、５月））'!M65)</f>
        <v/>
      </c>
      <c r="N65" s="518" t="str">
        <f>IF('別紙様式2-2（個票（４、５月））'!N65="","",'別紙様式2-2（個票（４、５月））'!N65)</f>
        <v/>
      </c>
      <c r="O65" s="289"/>
      <c r="P65" s="549" t="str">
        <f>IFERROR(VLOOKUP(K65,【参考】数式用!$A$2:$M$57,MATCH(O65,【参考】数式用!$G$3:$M$3,0)+6,0),"")</f>
        <v/>
      </c>
      <c r="Q65" s="313" t="s">
        <v>113</v>
      </c>
      <c r="R65" s="311"/>
      <c r="S65" s="312" t="s">
        <v>178</v>
      </c>
      <c r="T65" s="311"/>
      <c r="U65" s="312" t="s">
        <v>179</v>
      </c>
      <c r="V65" s="311"/>
      <c r="W65" s="312" t="s">
        <v>178</v>
      </c>
      <c r="X65" s="311"/>
      <c r="Y65" s="312" t="s">
        <v>180</v>
      </c>
      <c r="Z65" s="312" t="s">
        <v>181</v>
      </c>
      <c r="AA65" s="312" t="str">
        <f t="shared" si="27"/>
        <v/>
      </c>
      <c r="AB65" s="308" t="s">
        <v>182</v>
      </c>
      <c r="AC65" s="309" t="str">
        <f t="shared" si="11"/>
        <v/>
      </c>
      <c r="AD65" s="510" t="str">
        <f t="shared" si="12"/>
        <v/>
      </c>
      <c r="AE65" s="310" t="str">
        <f>IFERROR(ROUNDDOWN(ROUNDDOWN(ROUND(L65*VLOOKUP(K65,【参考】数式用!$A$2:$M$57,MATCH("処遇改善加算Ⅳ",【参考】数式用!$G$3:$M$3,0)+6,0),0),0)*AA65*0.5,0), "")</f>
        <v/>
      </c>
      <c r="AF65" s="321"/>
      <c r="AG65" s="322"/>
      <c r="AH65" s="322"/>
      <c r="AI65" s="321"/>
      <c r="AJ65" s="323"/>
      <c r="AK65" s="329"/>
      <c r="AL65" s="327" t="str">
        <f t="shared" si="28"/>
        <v/>
      </c>
      <c r="AM65" s="328" t="str">
        <f t="shared" si="13"/>
        <v/>
      </c>
      <c r="AN65" s="258"/>
      <c r="AO65" s="551" t="str">
        <f>IFERROR(VLOOKUP(K65,【参考】数式用!$A$2:$N$57,14,FALSE),"")</f>
        <v/>
      </c>
      <c r="AP65" s="551" t="str">
        <f t="shared" si="14"/>
        <v/>
      </c>
      <c r="AQ65" s="556" t="str">
        <f t="shared" si="29"/>
        <v/>
      </c>
      <c r="AR65" s="556" t="str">
        <f t="shared" si="26"/>
        <v>キャリアパス要件Ⅰ・Ⅱ_</v>
      </c>
      <c r="AS65" s="534" t="str">
        <f t="shared" si="30"/>
        <v>入力済</v>
      </c>
      <c r="AT65" s="551" t="str">
        <f t="shared" si="15"/>
        <v/>
      </c>
      <c r="AU65" s="534" t="str">
        <f t="shared" si="31"/>
        <v>入力済</v>
      </c>
      <c r="AV65" s="534" t="str">
        <f t="shared" si="32"/>
        <v/>
      </c>
      <c r="AW65" s="534" t="str">
        <f t="shared" si="16"/>
        <v/>
      </c>
      <c r="AX65" s="551" t="str">
        <f t="shared" si="33"/>
        <v/>
      </c>
      <c r="AY65" s="534" t="str">
        <f>IFERROR(VLOOKUP(K65,【参考】数式用!$AR$3:$AS$49, 2, FALSE), "")</f>
        <v/>
      </c>
      <c r="AZ65" s="551" t="str">
        <f t="shared" si="17"/>
        <v/>
      </c>
      <c r="BA65" s="555" t="str">
        <f t="shared" si="34"/>
        <v>入力済</v>
      </c>
      <c r="BB65" s="534" t="str">
        <f>IFERROR(VLOOKUP(K65,【参考】数式用!$AX$3:$AY$59, 2, FALSE), "")</f>
        <v/>
      </c>
      <c r="BC65" s="551" t="str">
        <f t="shared" si="18"/>
        <v/>
      </c>
      <c r="BD65" s="555" t="str">
        <f t="shared" si="35"/>
        <v>入力済</v>
      </c>
      <c r="BE65" s="555" t="str">
        <f t="shared" si="19"/>
        <v/>
      </c>
      <c r="BF65" s="555" t="str">
        <f t="shared" si="20"/>
        <v/>
      </c>
      <c r="BG65" s="555" t="str">
        <f t="shared" si="21"/>
        <v/>
      </c>
      <c r="BH65" s="555" t="str">
        <f t="shared" si="36"/>
        <v/>
      </c>
      <c r="BI65" s="555" t="str">
        <f t="shared" si="37"/>
        <v/>
      </c>
      <c r="BL65" t="str">
        <f t="shared" si="22"/>
        <v/>
      </c>
      <c r="BM65" t="str">
        <f t="shared" si="23"/>
        <v/>
      </c>
      <c r="BN65" t="str">
        <f t="shared" si="24"/>
        <v/>
      </c>
      <c r="BO65" s="562" t="str">
        <f>IF(BN65="対象",ROUNDDOWN(L65*VLOOKUP(K65,【参考】数式用!$A$4:$J$42,10,FALSE)*AA65,0),"")</f>
        <v/>
      </c>
      <c r="BP65" t="str">
        <f t="shared" si="25"/>
        <v/>
      </c>
    </row>
    <row r="66" spans="1:68" ht="109.95" customHeight="1" thickBot="1">
      <c r="A66" s="306">
        <v>53</v>
      </c>
      <c r="B66" s="646" t="str">
        <f>IF(基本情報入力シート!B88="","",基本情報入力シート!B88)</f>
        <v/>
      </c>
      <c r="C66" s="647"/>
      <c r="D66" s="647"/>
      <c r="E66" s="647"/>
      <c r="F66" s="648"/>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53" t="str">
        <f>IF(基本情報入力シート!AF88=0, "",基本情報入力シート!AF88)</f>
        <v/>
      </c>
      <c r="M66" s="519" t="str">
        <f>IF('別紙様式2-2（個票（４、５月））'!M66="","",'別紙様式2-2（個票（４、５月））'!M66)</f>
        <v/>
      </c>
      <c r="N66" s="518" t="str">
        <f>IF('別紙様式2-2（個票（４、５月））'!N66="","",'別紙様式2-2（個票（４、５月））'!N66)</f>
        <v/>
      </c>
      <c r="O66" s="289"/>
      <c r="P66" s="549" t="str">
        <f>IFERROR(VLOOKUP(K66,【参考】数式用!$A$2:$M$57,MATCH(O66,【参考】数式用!$G$3:$M$3,0)+6,0),"")</f>
        <v/>
      </c>
      <c r="Q66" s="313" t="s">
        <v>113</v>
      </c>
      <c r="R66" s="311"/>
      <c r="S66" s="312" t="s">
        <v>178</v>
      </c>
      <c r="T66" s="311"/>
      <c r="U66" s="312" t="s">
        <v>179</v>
      </c>
      <c r="V66" s="311"/>
      <c r="W66" s="312" t="s">
        <v>178</v>
      </c>
      <c r="X66" s="311"/>
      <c r="Y66" s="312" t="s">
        <v>180</v>
      </c>
      <c r="Z66" s="312" t="s">
        <v>181</v>
      </c>
      <c r="AA66" s="312" t="str">
        <f t="shared" si="27"/>
        <v/>
      </c>
      <c r="AB66" s="308" t="s">
        <v>182</v>
      </c>
      <c r="AC66" s="309" t="str">
        <f t="shared" si="11"/>
        <v/>
      </c>
      <c r="AD66" s="510" t="str">
        <f t="shared" si="12"/>
        <v/>
      </c>
      <c r="AE66" s="310" t="str">
        <f>IFERROR(ROUNDDOWN(ROUNDDOWN(ROUND(L66*VLOOKUP(K66,【参考】数式用!$A$2:$M$57,MATCH("処遇改善加算Ⅳ",【参考】数式用!$G$3:$M$3,0)+6,0),0),0)*AA66*0.5,0), "")</f>
        <v/>
      </c>
      <c r="AF66" s="321"/>
      <c r="AG66" s="322"/>
      <c r="AH66" s="322"/>
      <c r="AI66" s="321"/>
      <c r="AJ66" s="323"/>
      <c r="AK66" s="329"/>
      <c r="AL66" s="327" t="str">
        <f t="shared" si="28"/>
        <v/>
      </c>
      <c r="AM66" s="328" t="str">
        <f t="shared" si="13"/>
        <v/>
      </c>
      <c r="AN66" s="258"/>
      <c r="AO66" s="551" t="str">
        <f>IFERROR(VLOOKUP(K66,【参考】数式用!$A$2:$N$57,14,FALSE),"")</f>
        <v/>
      </c>
      <c r="AP66" s="551" t="str">
        <f t="shared" si="14"/>
        <v/>
      </c>
      <c r="AQ66" s="556" t="str">
        <f t="shared" si="29"/>
        <v/>
      </c>
      <c r="AR66" s="556" t="str">
        <f t="shared" si="26"/>
        <v>キャリアパス要件Ⅰ・Ⅱ_</v>
      </c>
      <c r="AS66" s="534" t="str">
        <f t="shared" si="30"/>
        <v>入力済</v>
      </c>
      <c r="AT66" s="551" t="str">
        <f t="shared" si="15"/>
        <v/>
      </c>
      <c r="AU66" s="534" t="str">
        <f t="shared" si="31"/>
        <v>入力済</v>
      </c>
      <c r="AV66" s="534" t="str">
        <f t="shared" si="32"/>
        <v/>
      </c>
      <c r="AW66" s="534" t="str">
        <f t="shared" si="16"/>
        <v/>
      </c>
      <c r="AX66" s="551" t="str">
        <f t="shared" si="33"/>
        <v/>
      </c>
      <c r="AY66" s="534" t="str">
        <f>IFERROR(VLOOKUP(K66,【参考】数式用!$AR$3:$AS$49, 2, FALSE), "")</f>
        <v/>
      </c>
      <c r="AZ66" s="551" t="str">
        <f t="shared" si="17"/>
        <v/>
      </c>
      <c r="BA66" s="555" t="str">
        <f t="shared" si="34"/>
        <v>入力済</v>
      </c>
      <c r="BB66" s="534" t="str">
        <f>IFERROR(VLOOKUP(K66,【参考】数式用!$AX$3:$AY$59, 2, FALSE), "")</f>
        <v/>
      </c>
      <c r="BC66" s="551" t="str">
        <f t="shared" si="18"/>
        <v/>
      </c>
      <c r="BD66" s="555" t="str">
        <f t="shared" si="35"/>
        <v>入力済</v>
      </c>
      <c r="BE66" s="555" t="str">
        <f t="shared" si="19"/>
        <v/>
      </c>
      <c r="BF66" s="555" t="str">
        <f t="shared" si="20"/>
        <v/>
      </c>
      <c r="BG66" s="555" t="str">
        <f t="shared" si="21"/>
        <v/>
      </c>
      <c r="BH66" s="555" t="str">
        <f t="shared" si="36"/>
        <v/>
      </c>
      <c r="BI66" s="555" t="str">
        <f t="shared" si="37"/>
        <v/>
      </c>
      <c r="BL66" t="str">
        <f t="shared" si="22"/>
        <v/>
      </c>
      <c r="BM66" t="str">
        <f t="shared" si="23"/>
        <v/>
      </c>
      <c r="BN66" t="str">
        <f t="shared" si="24"/>
        <v/>
      </c>
      <c r="BO66" s="562" t="str">
        <f>IF(BN66="対象",ROUNDDOWN(L66*VLOOKUP(K66,【参考】数式用!$A$4:$J$42,10,FALSE)*AA66,0),"")</f>
        <v/>
      </c>
      <c r="BP66" t="str">
        <f t="shared" si="25"/>
        <v/>
      </c>
    </row>
    <row r="67" spans="1:68" ht="109.95" customHeight="1" thickBot="1">
      <c r="A67" s="306">
        <v>54</v>
      </c>
      <c r="B67" s="646" t="str">
        <f>IF(基本情報入力シート!B89="","",基本情報入力シート!B89)</f>
        <v/>
      </c>
      <c r="C67" s="647"/>
      <c r="D67" s="647"/>
      <c r="E67" s="647"/>
      <c r="F67" s="648"/>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53" t="str">
        <f>IF(基本情報入力シート!AF89=0, "",基本情報入力シート!AF89)</f>
        <v/>
      </c>
      <c r="M67" s="519" t="str">
        <f>IF('別紙様式2-2（個票（４、５月））'!M67="","",'別紙様式2-2（個票（４、５月））'!M67)</f>
        <v/>
      </c>
      <c r="N67" s="518" t="str">
        <f>IF('別紙様式2-2（個票（４、５月））'!N67="","",'別紙様式2-2（個票（４、５月））'!N67)</f>
        <v/>
      </c>
      <c r="O67" s="289"/>
      <c r="P67" s="549" t="str">
        <f>IFERROR(VLOOKUP(K67,【参考】数式用!$A$2:$M$57,MATCH(O67,【参考】数式用!$G$3:$M$3,0)+6,0),"")</f>
        <v/>
      </c>
      <c r="Q67" s="313" t="s">
        <v>113</v>
      </c>
      <c r="R67" s="311"/>
      <c r="S67" s="312" t="s">
        <v>178</v>
      </c>
      <c r="T67" s="311"/>
      <c r="U67" s="312" t="s">
        <v>179</v>
      </c>
      <c r="V67" s="311"/>
      <c r="W67" s="312" t="s">
        <v>178</v>
      </c>
      <c r="X67" s="311"/>
      <c r="Y67" s="312" t="s">
        <v>115</v>
      </c>
      <c r="Z67" s="312" t="s">
        <v>181</v>
      </c>
      <c r="AA67" s="312" t="str">
        <f t="shared" si="27"/>
        <v/>
      </c>
      <c r="AB67" s="308" t="s">
        <v>182</v>
      </c>
      <c r="AC67" s="309" t="str">
        <f t="shared" si="11"/>
        <v/>
      </c>
      <c r="AD67" s="510" t="str">
        <f t="shared" si="12"/>
        <v/>
      </c>
      <c r="AE67" s="310" t="str">
        <f>IFERROR(ROUNDDOWN(ROUNDDOWN(ROUND(L67*VLOOKUP(K67,【参考】数式用!$A$2:$M$57,MATCH("処遇改善加算Ⅳ",【参考】数式用!$G$3:$M$3,0)+6,0),0),0)*AA67*0.5,0), "")</f>
        <v/>
      </c>
      <c r="AF67" s="321"/>
      <c r="AG67" s="322"/>
      <c r="AH67" s="322"/>
      <c r="AI67" s="321"/>
      <c r="AJ67" s="323"/>
      <c r="AK67" s="329"/>
      <c r="AL67" s="327" t="str">
        <f t="shared" si="28"/>
        <v/>
      </c>
      <c r="AM67" s="328" t="str">
        <f t="shared" si="13"/>
        <v/>
      </c>
      <c r="AN67" s="258"/>
      <c r="AO67" s="551" t="str">
        <f>IFERROR(VLOOKUP(K67,【参考】数式用!$A$2:$N$57,14,FALSE),"")</f>
        <v/>
      </c>
      <c r="AP67" s="551" t="str">
        <f t="shared" si="14"/>
        <v/>
      </c>
      <c r="AQ67" s="556" t="str">
        <f t="shared" si="29"/>
        <v/>
      </c>
      <c r="AR67" s="556" t="str">
        <f t="shared" si="26"/>
        <v>キャリアパス要件Ⅰ・Ⅱ_</v>
      </c>
      <c r="AS67" s="534" t="str">
        <f t="shared" si="30"/>
        <v>入力済</v>
      </c>
      <c r="AT67" s="551" t="str">
        <f t="shared" si="15"/>
        <v/>
      </c>
      <c r="AU67" s="534" t="str">
        <f t="shared" si="31"/>
        <v>入力済</v>
      </c>
      <c r="AV67" s="534" t="str">
        <f t="shared" si="32"/>
        <v/>
      </c>
      <c r="AW67" s="534" t="str">
        <f t="shared" si="16"/>
        <v/>
      </c>
      <c r="AX67" s="551" t="str">
        <f t="shared" si="33"/>
        <v/>
      </c>
      <c r="AY67" s="534" t="str">
        <f>IFERROR(VLOOKUP(K67,【参考】数式用!$AR$3:$AS$49, 2, FALSE), "")</f>
        <v/>
      </c>
      <c r="AZ67" s="551" t="str">
        <f t="shared" si="17"/>
        <v/>
      </c>
      <c r="BA67" s="555" t="str">
        <f t="shared" si="34"/>
        <v>入力済</v>
      </c>
      <c r="BB67" s="534" t="str">
        <f>IFERROR(VLOOKUP(K67,【参考】数式用!$AX$3:$AY$59, 2, FALSE), "")</f>
        <v/>
      </c>
      <c r="BC67" s="551" t="str">
        <f t="shared" si="18"/>
        <v/>
      </c>
      <c r="BD67" s="555" t="str">
        <f t="shared" si="35"/>
        <v>入力済</v>
      </c>
      <c r="BE67" s="555" t="str">
        <f t="shared" si="19"/>
        <v/>
      </c>
      <c r="BF67" s="555" t="str">
        <f t="shared" si="20"/>
        <v/>
      </c>
      <c r="BG67" s="555" t="str">
        <f t="shared" si="21"/>
        <v/>
      </c>
      <c r="BH67" s="555" t="str">
        <f t="shared" si="36"/>
        <v/>
      </c>
      <c r="BI67" s="555" t="str">
        <f t="shared" si="37"/>
        <v/>
      </c>
      <c r="BL67" t="str">
        <f t="shared" si="22"/>
        <v/>
      </c>
      <c r="BM67" t="str">
        <f t="shared" si="23"/>
        <v/>
      </c>
      <c r="BN67" t="str">
        <f t="shared" si="24"/>
        <v/>
      </c>
      <c r="BO67" s="562" t="str">
        <f>IF(BN67="対象",ROUNDDOWN(L67*VLOOKUP(K67,【参考】数式用!$A$4:$J$42,10,FALSE)*AA67,0),"")</f>
        <v/>
      </c>
      <c r="BP67" t="str">
        <f t="shared" si="25"/>
        <v/>
      </c>
    </row>
    <row r="68" spans="1:68" ht="109.95" customHeight="1" thickBot="1">
      <c r="A68" s="306">
        <v>55</v>
      </c>
      <c r="B68" s="646" t="str">
        <f>IF(基本情報入力シート!B90="","",基本情報入力シート!B90)</f>
        <v/>
      </c>
      <c r="C68" s="647"/>
      <c r="D68" s="647"/>
      <c r="E68" s="647"/>
      <c r="F68" s="648"/>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53" t="str">
        <f>IF(基本情報入力シート!AF90=0, "",基本情報入力シート!AF90)</f>
        <v/>
      </c>
      <c r="M68" s="519" t="str">
        <f>IF('別紙様式2-2（個票（４、５月））'!M68="","",'別紙様式2-2（個票（４、５月））'!M68)</f>
        <v/>
      </c>
      <c r="N68" s="518" t="str">
        <f>IF('別紙様式2-2（個票（４、５月））'!N68="","",'別紙様式2-2（個票（４、５月））'!N68)</f>
        <v/>
      </c>
      <c r="O68" s="289"/>
      <c r="P68" s="549" t="str">
        <f>IFERROR(VLOOKUP(K68,【参考】数式用!$A$2:$M$57,MATCH(O68,【参考】数式用!$G$3:$M$3,0)+6,0),"")</f>
        <v/>
      </c>
      <c r="Q68" s="313" t="s">
        <v>113</v>
      </c>
      <c r="R68" s="311"/>
      <c r="S68" s="312" t="s">
        <v>178</v>
      </c>
      <c r="T68" s="311"/>
      <c r="U68" s="312" t="s">
        <v>179</v>
      </c>
      <c r="V68" s="311"/>
      <c r="W68" s="312" t="s">
        <v>178</v>
      </c>
      <c r="X68" s="311"/>
      <c r="Y68" s="312" t="s">
        <v>180</v>
      </c>
      <c r="Z68" s="312" t="s">
        <v>181</v>
      </c>
      <c r="AA68" s="312" t="str">
        <f t="shared" si="27"/>
        <v/>
      </c>
      <c r="AB68" s="308" t="s">
        <v>182</v>
      </c>
      <c r="AC68" s="309" t="str">
        <f t="shared" si="11"/>
        <v/>
      </c>
      <c r="AD68" s="510" t="str">
        <f t="shared" si="12"/>
        <v/>
      </c>
      <c r="AE68" s="310" t="str">
        <f>IFERROR(ROUNDDOWN(ROUNDDOWN(ROUND(L68*VLOOKUP(K68,【参考】数式用!$A$2:$M$57,MATCH("処遇改善加算Ⅳ",【参考】数式用!$G$3:$M$3,0)+6,0),0),0)*AA68*0.5,0), "")</f>
        <v/>
      </c>
      <c r="AF68" s="321"/>
      <c r="AG68" s="322"/>
      <c r="AH68" s="322"/>
      <c r="AI68" s="321"/>
      <c r="AJ68" s="323"/>
      <c r="AK68" s="329"/>
      <c r="AL68" s="327" t="str">
        <f t="shared" si="28"/>
        <v/>
      </c>
      <c r="AM68" s="328" t="str">
        <f t="shared" si="13"/>
        <v/>
      </c>
      <c r="AN68" s="258"/>
      <c r="AO68" s="551" t="str">
        <f>IFERROR(VLOOKUP(K68,【参考】数式用!$A$2:$N$57,14,FALSE),"")</f>
        <v/>
      </c>
      <c r="AP68" s="551" t="str">
        <f t="shared" si="14"/>
        <v/>
      </c>
      <c r="AQ68" s="556" t="str">
        <f t="shared" si="29"/>
        <v/>
      </c>
      <c r="AR68" s="556" t="str">
        <f t="shared" si="26"/>
        <v>キャリアパス要件Ⅰ・Ⅱ_</v>
      </c>
      <c r="AS68" s="534" t="str">
        <f t="shared" si="30"/>
        <v>入力済</v>
      </c>
      <c r="AT68" s="551" t="str">
        <f t="shared" si="15"/>
        <v/>
      </c>
      <c r="AU68" s="534" t="str">
        <f t="shared" si="31"/>
        <v>入力済</v>
      </c>
      <c r="AV68" s="534" t="str">
        <f t="shared" si="32"/>
        <v/>
      </c>
      <c r="AW68" s="534" t="str">
        <f t="shared" si="16"/>
        <v/>
      </c>
      <c r="AX68" s="551" t="str">
        <f t="shared" si="33"/>
        <v/>
      </c>
      <c r="AY68" s="534" t="str">
        <f>IFERROR(VLOOKUP(K68,【参考】数式用!$AR$3:$AS$49, 2, FALSE), "")</f>
        <v/>
      </c>
      <c r="AZ68" s="551" t="str">
        <f t="shared" si="17"/>
        <v/>
      </c>
      <c r="BA68" s="555" t="str">
        <f t="shared" si="34"/>
        <v>入力済</v>
      </c>
      <c r="BB68" s="534" t="str">
        <f>IFERROR(VLOOKUP(K68,【参考】数式用!$AX$3:$AY$59, 2, FALSE), "")</f>
        <v/>
      </c>
      <c r="BC68" s="551" t="str">
        <f t="shared" si="18"/>
        <v/>
      </c>
      <c r="BD68" s="555" t="str">
        <f t="shared" si="35"/>
        <v>入力済</v>
      </c>
      <c r="BE68" s="555" t="str">
        <f t="shared" si="19"/>
        <v/>
      </c>
      <c r="BF68" s="555" t="str">
        <f t="shared" si="20"/>
        <v/>
      </c>
      <c r="BG68" s="555" t="str">
        <f t="shared" si="21"/>
        <v/>
      </c>
      <c r="BH68" s="555" t="str">
        <f t="shared" si="36"/>
        <v/>
      </c>
      <c r="BI68" s="555" t="str">
        <f t="shared" si="37"/>
        <v/>
      </c>
      <c r="BL68" t="str">
        <f t="shared" si="22"/>
        <v/>
      </c>
      <c r="BM68" t="str">
        <f t="shared" si="23"/>
        <v/>
      </c>
      <c r="BN68" t="str">
        <f t="shared" si="24"/>
        <v/>
      </c>
      <c r="BO68" s="562" t="str">
        <f>IF(BN68="対象",ROUNDDOWN(L68*VLOOKUP(K68,【参考】数式用!$A$4:$J$42,10,FALSE)*AA68,0),"")</f>
        <v/>
      </c>
      <c r="BP68" t="str">
        <f t="shared" si="25"/>
        <v/>
      </c>
    </row>
    <row r="69" spans="1:68" ht="109.95" customHeight="1" thickBot="1">
      <c r="A69" s="306">
        <v>56</v>
      </c>
      <c r="B69" s="646" t="str">
        <f>IF(基本情報入力シート!B91="","",基本情報入力シート!B91)</f>
        <v/>
      </c>
      <c r="C69" s="647"/>
      <c r="D69" s="647"/>
      <c r="E69" s="647"/>
      <c r="F69" s="648"/>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53" t="str">
        <f>IF(基本情報入力シート!AF91=0, "",基本情報入力シート!AF91)</f>
        <v/>
      </c>
      <c r="M69" s="519" t="str">
        <f>IF('別紙様式2-2（個票（４、５月））'!M69="","",'別紙様式2-2（個票（４、５月））'!M69)</f>
        <v/>
      </c>
      <c r="N69" s="518" t="str">
        <f>IF('別紙様式2-2（個票（４、５月））'!N69="","",'別紙様式2-2（個票（４、５月））'!N69)</f>
        <v/>
      </c>
      <c r="O69" s="289"/>
      <c r="P69" s="549" t="str">
        <f>IFERROR(VLOOKUP(K69,【参考】数式用!$A$2:$M$57,MATCH(O69,【参考】数式用!$G$3:$M$3,0)+6,0),"")</f>
        <v/>
      </c>
      <c r="Q69" s="313" t="s">
        <v>113</v>
      </c>
      <c r="R69" s="311"/>
      <c r="S69" s="312" t="s">
        <v>178</v>
      </c>
      <c r="T69" s="311"/>
      <c r="U69" s="312" t="s">
        <v>179</v>
      </c>
      <c r="V69" s="311"/>
      <c r="W69" s="312" t="s">
        <v>178</v>
      </c>
      <c r="X69" s="311"/>
      <c r="Y69" s="312" t="s">
        <v>180</v>
      </c>
      <c r="Z69" s="312" t="s">
        <v>181</v>
      </c>
      <c r="AA69" s="312" t="str">
        <f t="shared" si="27"/>
        <v/>
      </c>
      <c r="AB69" s="308" t="s">
        <v>182</v>
      </c>
      <c r="AC69" s="309" t="str">
        <f t="shared" si="11"/>
        <v/>
      </c>
      <c r="AD69" s="510" t="str">
        <f t="shared" si="12"/>
        <v/>
      </c>
      <c r="AE69" s="310" t="str">
        <f>IFERROR(ROUNDDOWN(ROUNDDOWN(ROUND(L69*VLOOKUP(K69,【参考】数式用!$A$2:$M$57,MATCH("処遇改善加算Ⅳ",【参考】数式用!$G$3:$M$3,0)+6,0),0),0)*AA69*0.5,0), "")</f>
        <v/>
      </c>
      <c r="AF69" s="321"/>
      <c r="AG69" s="322"/>
      <c r="AH69" s="322"/>
      <c r="AI69" s="321"/>
      <c r="AJ69" s="323"/>
      <c r="AK69" s="329"/>
      <c r="AL69" s="327" t="str">
        <f t="shared" si="28"/>
        <v/>
      </c>
      <c r="AM69" s="328" t="str">
        <f t="shared" si="13"/>
        <v/>
      </c>
      <c r="AN69" s="258"/>
      <c r="AO69" s="551" t="str">
        <f>IFERROR(VLOOKUP(K69,【参考】数式用!$A$2:$N$57,14,FALSE),"")</f>
        <v/>
      </c>
      <c r="AP69" s="551" t="str">
        <f t="shared" si="14"/>
        <v/>
      </c>
      <c r="AQ69" s="556" t="str">
        <f t="shared" si="29"/>
        <v/>
      </c>
      <c r="AR69" s="556" t="str">
        <f t="shared" si="26"/>
        <v>キャリアパス要件Ⅰ・Ⅱ_</v>
      </c>
      <c r="AS69" s="534" t="str">
        <f t="shared" si="30"/>
        <v>入力済</v>
      </c>
      <c r="AT69" s="551" t="str">
        <f t="shared" si="15"/>
        <v/>
      </c>
      <c r="AU69" s="534" t="str">
        <f t="shared" si="31"/>
        <v>入力済</v>
      </c>
      <c r="AV69" s="534" t="str">
        <f t="shared" si="32"/>
        <v/>
      </c>
      <c r="AW69" s="534" t="str">
        <f t="shared" si="16"/>
        <v/>
      </c>
      <c r="AX69" s="551" t="str">
        <f t="shared" si="33"/>
        <v/>
      </c>
      <c r="AY69" s="534" t="str">
        <f>IFERROR(VLOOKUP(K69,【参考】数式用!$AR$3:$AS$49, 2, FALSE), "")</f>
        <v/>
      </c>
      <c r="AZ69" s="551" t="str">
        <f t="shared" si="17"/>
        <v/>
      </c>
      <c r="BA69" s="555" t="str">
        <f t="shared" si="34"/>
        <v>入力済</v>
      </c>
      <c r="BB69" s="534" t="str">
        <f>IFERROR(VLOOKUP(K69,【参考】数式用!$AX$3:$AY$59, 2, FALSE), "")</f>
        <v/>
      </c>
      <c r="BC69" s="551" t="str">
        <f t="shared" si="18"/>
        <v/>
      </c>
      <c r="BD69" s="555" t="str">
        <f t="shared" si="35"/>
        <v>入力済</v>
      </c>
      <c r="BE69" s="555" t="str">
        <f t="shared" si="19"/>
        <v/>
      </c>
      <c r="BF69" s="555" t="str">
        <f t="shared" si="20"/>
        <v/>
      </c>
      <c r="BG69" s="555" t="str">
        <f t="shared" si="21"/>
        <v/>
      </c>
      <c r="BH69" s="555" t="str">
        <f t="shared" si="36"/>
        <v/>
      </c>
      <c r="BI69" s="555" t="str">
        <f t="shared" si="37"/>
        <v/>
      </c>
      <c r="BL69" t="str">
        <f t="shared" si="22"/>
        <v/>
      </c>
      <c r="BM69" t="str">
        <f t="shared" si="23"/>
        <v/>
      </c>
      <c r="BN69" t="str">
        <f t="shared" si="24"/>
        <v/>
      </c>
      <c r="BO69" s="562" t="str">
        <f>IF(BN69="対象",ROUNDDOWN(L69*VLOOKUP(K69,【参考】数式用!$A$4:$J$42,10,FALSE)*AA69,0),"")</f>
        <v/>
      </c>
      <c r="BP69" t="str">
        <f t="shared" si="25"/>
        <v/>
      </c>
    </row>
    <row r="70" spans="1:68" ht="109.95" customHeight="1" thickBot="1">
      <c r="A70" s="306">
        <v>57</v>
      </c>
      <c r="B70" s="646" t="str">
        <f>IF(基本情報入力シート!B92="","",基本情報入力シート!B92)</f>
        <v/>
      </c>
      <c r="C70" s="647"/>
      <c r="D70" s="647"/>
      <c r="E70" s="647"/>
      <c r="F70" s="648"/>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53" t="str">
        <f>IF(基本情報入力シート!AF92=0, "",基本情報入力シート!AF92)</f>
        <v/>
      </c>
      <c r="M70" s="519" t="str">
        <f>IF('別紙様式2-2（個票（４、５月））'!M70="","",'別紙様式2-2（個票（４、５月））'!M70)</f>
        <v/>
      </c>
      <c r="N70" s="518" t="str">
        <f>IF('別紙様式2-2（個票（４、５月））'!N70="","",'別紙様式2-2（個票（４、５月））'!N70)</f>
        <v/>
      </c>
      <c r="O70" s="289"/>
      <c r="P70" s="549" t="str">
        <f>IFERROR(VLOOKUP(K70,【参考】数式用!$A$2:$M$57,MATCH(O70,【参考】数式用!$G$3:$M$3,0)+6,0),"")</f>
        <v/>
      </c>
      <c r="Q70" s="313" t="s">
        <v>113</v>
      </c>
      <c r="R70" s="311"/>
      <c r="S70" s="312" t="s">
        <v>178</v>
      </c>
      <c r="T70" s="311"/>
      <c r="U70" s="312" t="s">
        <v>179</v>
      </c>
      <c r="V70" s="311"/>
      <c r="W70" s="312" t="s">
        <v>178</v>
      </c>
      <c r="X70" s="311"/>
      <c r="Y70" s="312" t="s">
        <v>180</v>
      </c>
      <c r="Z70" s="312" t="s">
        <v>181</v>
      </c>
      <c r="AA70" s="312" t="str">
        <f t="shared" si="27"/>
        <v/>
      </c>
      <c r="AB70" s="308" t="s">
        <v>182</v>
      </c>
      <c r="AC70" s="309" t="str">
        <f t="shared" si="11"/>
        <v/>
      </c>
      <c r="AD70" s="510" t="str">
        <f t="shared" si="12"/>
        <v/>
      </c>
      <c r="AE70" s="310" t="str">
        <f>IFERROR(ROUNDDOWN(ROUNDDOWN(ROUND(L70*VLOOKUP(K70,【参考】数式用!$A$2:$M$57,MATCH("処遇改善加算Ⅳ",【参考】数式用!$G$3:$M$3,0)+6,0),0),0)*AA70*0.5,0), "")</f>
        <v/>
      </c>
      <c r="AF70" s="321"/>
      <c r="AG70" s="322"/>
      <c r="AH70" s="322"/>
      <c r="AI70" s="321"/>
      <c r="AJ70" s="323"/>
      <c r="AK70" s="329"/>
      <c r="AL70" s="327" t="str">
        <f t="shared" si="28"/>
        <v/>
      </c>
      <c r="AM70" s="328" t="str">
        <f t="shared" si="13"/>
        <v/>
      </c>
      <c r="AN70" s="258"/>
      <c r="AO70" s="551" t="str">
        <f>IFERROR(VLOOKUP(K70,【参考】数式用!$A$2:$N$57,14,FALSE),"")</f>
        <v/>
      </c>
      <c r="AP70" s="551" t="str">
        <f t="shared" si="14"/>
        <v/>
      </c>
      <c r="AQ70" s="556" t="str">
        <f t="shared" si="29"/>
        <v/>
      </c>
      <c r="AR70" s="556" t="str">
        <f t="shared" si="26"/>
        <v>キャリアパス要件Ⅰ・Ⅱ_</v>
      </c>
      <c r="AS70" s="534" t="str">
        <f t="shared" si="30"/>
        <v>入力済</v>
      </c>
      <c r="AT70" s="551" t="str">
        <f t="shared" si="15"/>
        <v/>
      </c>
      <c r="AU70" s="534" t="str">
        <f t="shared" si="31"/>
        <v>入力済</v>
      </c>
      <c r="AV70" s="534" t="str">
        <f t="shared" si="32"/>
        <v/>
      </c>
      <c r="AW70" s="534" t="str">
        <f t="shared" si="16"/>
        <v/>
      </c>
      <c r="AX70" s="551" t="str">
        <f t="shared" si="33"/>
        <v/>
      </c>
      <c r="AY70" s="534" t="str">
        <f>IFERROR(VLOOKUP(K70,【参考】数式用!$AR$3:$AS$49, 2, FALSE), "")</f>
        <v/>
      </c>
      <c r="AZ70" s="551" t="str">
        <f t="shared" si="17"/>
        <v/>
      </c>
      <c r="BA70" s="555" t="str">
        <f t="shared" si="34"/>
        <v>入力済</v>
      </c>
      <c r="BB70" s="534" t="str">
        <f>IFERROR(VLOOKUP(K70,【参考】数式用!$AX$3:$AY$59, 2, FALSE), "")</f>
        <v/>
      </c>
      <c r="BC70" s="551" t="str">
        <f t="shared" si="18"/>
        <v/>
      </c>
      <c r="BD70" s="555" t="str">
        <f t="shared" si="35"/>
        <v>入力済</v>
      </c>
      <c r="BE70" s="555" t="str">
        <f t="shared" si="19"/>
        <v/>
      </c>
      <c r="BF70" s="555" t="str">
        <f t="shared" si="20"/>
        <v/>
      </c>
      <c r="BG70" s="555" t="str">
        <f t="shared" si="21"/>
        <v/>
      </c>
      <c r="BH70" s="555" t="str">
        <f t="shared" si="36"/>
        <v/>
      </c>
      <c r="BI70" s="555" t="str">
        <f t="shared" si="37"/>
        <v/>
      </c>
      <c r="BL70" t="str">
        <f t="shared" si="22"/>
        <v/>
      </c>
      <c r="BM70" t="str">
        <f t="shared" si="23"/>
        <v/>
      </c>
      <c r="BN70" t="str">
        <f t="shared" si="24"/>
        <v/>
      </c>
      <c r="BO70" s="562" t="str">
        <f>IF(BN70="対象",ROUNDDOWN(L70*VLOOKUP(K70,【参考】数式用!$A$4:$J$42,10,FALSE)*AA70,0),"")</f>
        <v/>
      </c>
      <c r="BP70" t="str">
        <f t="shared" si="25"/>
        <v/>
      </c>
    </row>
    <row r="71" spans="1:68" ht="109.95" customHeight="1" thickBot="1">
      <c r="A71" s="306">
        <v>58</v>
      </c>
      <c r="B71" s="646" t="str">
        <f>IF(基本情報入力シート!B93="","",基本情報入力シート!B93)</f>
        <v/>
      </c>
      <c r="C71" s="647"/>
      <c r="D71" s="647"/>
      <c r="E71" s="647"/>
      <c r="F71" s="648"/>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53" t="str">
        <f>IF(基本情報入力シート!AF93=0, "",基本情報入力シート!AF93)</f>
        <v/>
      </c>
      <c r="M71" s="519" t="str">
        <f>IF('別紙様式2-2（個票（４、５月））'!M71="","",'別紙様式2-2（個票（４、５月））'!M71)</f>
        <v/>
      </c>
      <c r="N71" s="518" t="str">
        <f>IF('別紙様式2-2（個票（４、５月））'!N71="","",'別紙様式2-2（個票（４、５月））'!N71)</f>
        <v/>
      </c>
      <c r="O71" s="289"/>
      <c r="P71" s="549" t="str">
        <f>IFERROR(VLOOKUP(K71,【参考】数式用!$A$2:$M$57,MATCH(O71,【参考】数式用!$G$3:$M$3,0)+6,0),"")</f>
        <v/>
      </c>
      <c r="Q71" s="313" t="s">
        <v>113</v>
      </c>
      <c r="R71" s="311"/>
      <c r="S71" s="312" t="s">
        <v>178</v>
      </c>
      <c r="T71" s="311"/>
      <c r="U71" s="312" t="s">
        <v>179</v>
      </c>
      <c r="V71" s="311"/>
      <c r="W71" s="312" t="s">
        <v>178</v>
      </c>
      <c r="X71" s="311"/>
      <c r="Y71" s="312" t="s">
        <v>115</v>
      </c>
      <c r="Z71" s="312" t="s">
        <v>181</v>
      </c>
      <c r="AA71" s="312" t="str">
        <f t="shared" si="27"/>
        <v/>
      </c>
      <c r="AB71" s="308" t="s">
        <v>182</v>
      </c>
      <c r="AC71" s="309" t="str">
        <f t="shared" si="11"/>
        <v/>
      </c>
      <c r="AD71" s="510" t="str">
        <f t="shared" si="12"/>
        <v/>
      </c>
      <c r="AE71" s="310" t="str">
        <f>IFERROR(ROUNDDOWN(ROUNDDOWN(ROUND(L71*VLOOKUP(K71,【参考】数式用!$A$2:$M$57,MATCH("処遇改善加算Ⅳ",【参考】数式用!$G$3:$M$3,0)+6,0),0),0)*AA71*0.5,0), "")</f>
        <v/>
      </c>
      <c r="AF71" s="321"/>
      <c r="AG71" s="322"/>
      <c r="AH71" s="322"/>
      <c r="AI71" s="321"/>
      <c r="AJ71" s="323"/>
      <c r="AK71" s="329"/>
      <c r="AL71" s="327" t="str">
        <f t="shared" si="28"/>
        <v/>
      </c>
      <c r="AM71" s="328" t="str">
        <f t="shared" si="13"/>
        <v/>
      </c>
      <c r="AN71" s="258"/>
      <c r="AO71" s="551" t="str">
        <f>IFERROR(VLOOKUP(K71,【参考】数式用!$A$2:$N$57,14,FALSE),"")</f>
        <v/>
      </c>
      <c r="AP71" s="551" t="str">
        <f t="shared" si="14"/>
        <v/>
      </c>
      <c r="AQ71" s="556" t="str">
        <f t="shared" si="29"/>
        <v/>
      </c>
      <c r="AR71" s="556" t="str">
        <f t="shared" si="26"/>
        <v>キャリアパス要件Ⅰ・Ⅱ_</v>
      </c>
      <c r="AS71" s="534" t="str">
        <f t="shared" si="30"/>
        <v>入力済</v>
      </c>
      <c r="AT71" s="551" t="str">
        <f t="shared" si="15"/>
        <v/>
      </c>
      <c r="AU71" s="534" t="str">
        <f t="shared" si="31"/>
        <v>入力済</v>
      </c>
      <c r="AV71" s="534" t="str">
        <f t="shared" si="32"/>
        <v/>
      </c>
      <c r="AW71" s="534" t="str">
        <f t="shared" si="16"/>
        <v/>
      </c>
      <c r="AX71" s="551" t="str">
        <f t="shared" si="33"/>
        <v/>
      </c>
      <c r="AY71" s="534" t="str">
        <f>IFERROR(VLOOKUP(K71,【参考】数式用!$AR$3:$AS$49, 2, FALSE), "")</f>
        <v/>
      </c>
      <c r="AZ71" s="551" t="str">
        <f t="shared" si="17"/>
        <v/>
      </c>
      <c r="BA71" s="555" t="str">
        <f t="shared" si="34"/>
        <v>入力済</v>
      </c>
      <c r="BB71" s="534" t="str">
        <f>IFERROR(VLOOKUP(K71,【参考】数式用!$AX$3:$AY$59, 2, FALSE), "")</f>
        <v/>
      </c>
      <c r="BC71" s="551" t="str">
        <f t="shared" si="18"/>
        <v/>
      </c>
      <c r="BD71" s="555" t="str">
        <f t="shared" si="35"/>
        <v>入力済</v>
      </c>
      <c r="BE71" s="555" t="str">
        <f t="shared" si="19"/>
        <v/>
      </c>
      <c r="BF71" s="555" t="str">
        <f t="shared" si="20"/>
        <v/>
      </c>
      <c r="BG71" s="555" t="str">
        <f t="shared" si="21"/>
        <v/>
      </c>
      <c r="BH71" s="555" t="str">
        <f t="shared" si="36"/>
        <v/>
      </c>
      <c r="BI71" s="555" t="str">
        <f t="shared" si="37"/>
        <v/>
      </c>
      <c r="BL71" t="str">
        <f t="shared" si="22"/>
        <v/>
      </c>
      <c r="BM71" t="str">
        <f t="shared" si="23"/>
        <v/>
      </c>
      <c r="BN71" t="str">
        <f t="shared" si="24"/>
        <v/>
      </c>
      <c r="BO71" s="562" t="str">
        <f>IF(BN71="対象",ROUNDDOWN(L71*VLOOKUP(K71,【参考】数式用!$A$4:$J$42,10,FALSE)*AA71,0),"")</f>
        <v/>
      </c>
      <c r="BP71" t="str">
        <f t="shared" si="25"/>
        <v/>
      </c>
    </row>
    <row r="72" spans="1:68" ht="109.95" customHeight="1" thickBot="1">
      <c r="A72" s="306">
        <v>59</v>
      </c>
      <c r="B72" s="646" t="str">
        <f>IF(基本情報入力シート!B94="","",基本情報入力シート!B94)</f>
        <v/>
      </c>
      <c r="C72" s="647"/>
      <c r="D72" s="647"/>
      <c r="E72" s="647"/>
      <c r="F72" s="648"/>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53" t="str">
        <f>IF(基本情報入力シート!AF94=0, "",基本情報入力シート!AF94)</f>
        <v/>
      </c>
      <c r="M72" s="519" t="str">
        <f>IF('別紙様式2-2（個票（４、５月））'!M72="","",'別紙様式2-2（個票（４、５月））'!M72)</f>
        <v/>
      </c>
      <c r="N72" s="518" t="str">
        <f>IF('別紙様式2-2（個票（４、５月））'!N72="","",'別紙様式2-2（個票（４、５月））'!N72)</f>
        <v/>
      </c>
      <c r="O72" s="289"/>
      <c r="P72" s="549" t="str">
        <f>IFERROR(VLOOKUP(K72,【参考】数式用!$A$2:$M$57,MATCH(O72,【参考】数式用!$G$3:$M$3,0)+6,0),"")</f>
        <v/>
      </c>
      <c r="Q72" s="313" t="s">
        <v>113</v>
      </c>
      <c r="R72" s="311"/>
      <c r="S72" s="312" t="s">
        <v>178</v>
      </c>
      <c r="T72" s="311"/>
      <c r="U72" s="312" t="s">
        <v>179</v>
      </c>
      <c r="V72" s="311"/>
      <c r="W72" s="312" t="s">
        <v>178</v>
      </c>
      <c r="X72" s="311"/>
      <c r="Y72" s="312" t="s">
        <v>115</v>
      </c>
      <c r="Z72" s="312" t="s">
        <v>181</v>
      </c>
      <c r="AA72" s="312" t="str">
        <f t="shared" si="27"/>
        <v/>
      </c>
      <c r="AB72" s="308" t="s">
        <v>182</v>
      </c>
      <c r="AC72" s="309" t="str">
        <f t="shared" si="11"/>
        <v/>
      </c>
      <c r="AD72" s="510" t="str">
        <f t="shared" si="12"/>
        <v/>
      </c>
      <c r="AE72" s="310" t="str">
        <f>IFERROR(ROUNDDOWN(ROUNDDOWN(ROUND(L72*VLOOKUP(K72,【参考】数式用!$A$2:$M$57,MATCH("処遇改善加算Ⅳ",【参考】数式用!$G$3:$M$3,0)+6,0),0),0)*AA72*0.5,0), "")</f>
        <v/>
      </c>
      <c r="AF72" s="321"/>
      <c r="AG72" s="322"/>
      <c r="AH72" s="322"/>
      <c r="AI72" s="321"/>
      <c r="AJ72" s="323"/>
      <c r="AK72" s="329"/>
      <c r="AL72" s="327" t="str">
        <f t="shared" si="28"/>
        <v/>
      </c>
      <c r="AM72" s="328" t="str">
        <f t="shared" si="13"/>
        <v/>
      </c>
      <c r="AN72" s="258"/>
      <c r="AO72" s="551" t="str">
        <f>IFERROR(VLOOKUP(K72,【参考】数式用!$A$2:$N$57,14,FALSE),"")</f>
        <v/>
      </c>
      <c r="AP72" s="551" t="str">
        <f t="shared" si="14"/>
        <v/>
      </c>
      <c r="AQ72" s="556" t="str">
        <f t="shared" si="29"/>
        <v/>
      </c>
      <c r="AR72" s="556" t="str">
        <f t="shared" si="26"/>
        <v>キャリアパス要件Ⅰ・Ⅱ_</v>
      </c>
      <c r="AS72" s="534" t="str">
        <f t="shared" si="30"/>
        <v>入力済</v>
      </c>
      <c r="AT72" s="551" t="str">
        <f t="shared" si="15"/>
        <v/>
      </c>
      <c r="AU72" s="534" t="str">
        <f t="shared" si="31"/>
        <v>入力済</v>
      </c>
      <c r="AV72" s="534" t="str">
        <f t="shared" si="32"/>
        <v/>
      </c>
      <c r="AW72" s="534" t="str">
        <f t="shared" si="16"/>
        <v/>
      </c>
      <c r="AX72" s="551" t="str">
        <f t="shared" si="33"/>
        <v/>
      </c>
      <c r="AY72" s="534" t="str">
        <f>IFERROR(VLOOKUP(K72,【参考】数式用!$AR$3:$AS$49, 2, FALSE), "")</f>
        <v/>
      </c>
      <c r="AZ72" s="551" t="str">
        <f t="shared" si="17"/>
        <v/>
      </c>
      <c r="BA72" s="555" t="str">
        <f t="shared" si="34"/>
        <v>入力済</v>
      </c>
      <c r="BB72" s="534" t="str">
        <f>IFERROR(VLOOKUP(K72,【参考】数式用!$AX$3:$AY$59, 2, FALSE), "")</f>
        <v/>
      </c>
      <c r="BC72" s="551" t="str">
        <f t="shared" si="18"/>
        <v/>
      </c>
      <c r="BD72" s="555" t="str">
        <f t="shared" si="35"/>
        <v>入力済</v>
      </c>
      <c r="BE72" s="555" t="str">
        <f t="shared" si="19"/>
        <v/>
      </c>
      <c r="BF72" s="555" t="str">
        <f t="shared" si="20"/>
        <v/>
      </c>
      <c r="BG72" s="555" t="str">
        <f t="shared" si="21"/>
        <v/>
      </c>
      <c r="BH72" s="555" t="str">
        <f t="shared" si="36"/>
        <v/>
      </c>
      <c r="BI72" s="555" t="str">
        <f t="shared" si="37"/>
        <v/>
      </c>
      <c r="BL72" t="str">
        <f t="shared" si="22"/>
        <v/>
      </c>
      <c r="BM72" t="str">
        <f t="shared" si="23"/>
        <v/>
      </c>
      <c r="BN72" t="str">
        <f t="shared" si="24"/>
        <v/>
      </c>
      <c r="BO72" s="562" t="str">
        <f>IF(BN72="対象",ROUNDDOWN(L72*VLOOKUP(K72,【参考】数式用!$A$4:$J$42,10,FALSE)*AA72,0),"")</f>
        <v/>
      </c>
      <c r="BP72" t="str">
        <f t="shared" si="25"/>
        <v/>
      </c>
    </row>
    <row r="73" spans="1:68" ht="109.95" customHeight="1" thickBot="1">
      <c r="A73" s="306">
        <v>60</v>
      </c>
      <c r="B73" s="646" t="str">
        <f>IF(基本情報入力シート!B95="","",基本情報入力シート!B95)</f>
        <v/>
      </c>
      <c r="C73" s="647"/>
      <c r="D73" s="647"/>
      <c r="E73" s="647"/>
      <c r="F73" s="648"/>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53" t="str">
        <f>IF(基本情報入力シート!AF95=0, "",基本情報入力シート!AF95)</f>
        <v/>
      </c>
      <c r="M73" s="519" t="str">
        <f>IF('別紙様式2-2（個票（４、５月））'!M73="","",'別紙様式2-2（個票（４、５月））'!M73)</f>
        <v/>
      </c>
      <c r="N73" s="518" t="str">
        <f>IF('別紙様式2-2（個票（４、５月））'!N73="","",'別紙様式2-2（個票（４、５月））'!N73)</f>
        <v/>
      </c>
      <c r="O73" s="289"/>
      <c r="P73" s="549" t="str">
        <f>IFERROR(VLOOKUP(K73,【参考】数式用!$A$2:$M$57,MATCH(O73,【参考】数式用!$G$3:$M$3,0)+6,0),"")</f>
        <v/>
      </c>
      <c r="Q73" s="313" t="s">
        <v>113</v>
      </c>
      <c r="R73" s="311"/>
      <c r="S73" s="312" t="s">
        <v>178</v>
      </c>
      <c r="T73" s="311"/>
      <c r="U73" s="312" t="s">
        <v>179</v>
      </c>
      <c r="V73" s="311"/>
      <c r="W73" s="312" t="s">
        <v>178</v>
      </c>
      <c r="X73" s="311"/>
      <c r="Y73" s="312" t="s">
        <v>180</v>
      </c>
      <c r="Z73" s="312" t="s">
        <v>181</v>
      </c>
      <c r="AA73" s="312" t="str">
        <f t="shared" si="27"/>
        <v/>
      </c>
      <c r="AB73" s="308" t="s">
        <v>182</v>
      </c>
      <c r="AC73" s="309" t="str">
        <f t="shared" si="11"/>
        <v/>
      </c>
      <c r="AD73" s="510" t="str">
        <f t="shared" si="12"/>
        <v/>
      </c>
      <c r="AE73" s="310" t="str">
        <f>IFERROR(ROUNDDOWN(ROUNDDOWN(ROUND(L73*VLOOKUP(K73,【参考】数式用!$A$2:$M$57,MATCH("処遇改善加算Ⅳ",【参考】数式用!$G$3:$M$3,0)+6,0),0),0)*AA73*0.5,0), "")</f>
        <v/>
      </c>
      <c r="AF73" s="321"/>
      <c r="AG73" s="322"/>
      <c r="AH73" s="322"/>
      <c r="AI73" s="321"/>
      <c r="AJ73" s="323"/>
      <c r="AK73" s="329"/>
      <c r="AL73" s="327" t="str">
        <f t="shared" si="28"/>
        <v/>
      </c>
      <c r="AM73" s="328" t="str">
        <f t="shared" si="13"/>
        <v/>
      </c>
      <c r="AN73" s="258"/>
      <c r="AO73" s="551" t="str">
        <f>IFERROR(VLOOKUP(K73,【参考】数式用!$A$2:$N$57,14,FALSE),"")</f>
        <v/>
      </c>
      <c r="AP73" s="551" t="str">
        <f t="shared" si="14"/>
        <v/>
      </c>
      <c r="AQ73" s="556" t="str">
        <f t="shared" si="29"/>
        <v/>
      </c>
      <c r="AR73" s="556" t="str">
        <f t="shared" si="26"/>
        <v>キャリアパス要件Ⅰ・Ⅱ_</v>
      </c>
      <c r="AS73" s="534" t="str">
        <f t="shared" si="30"/>
        <v>入力済</v>
      </c>
      <c r="AT73" s="551" t="str">
        <f t="shared" si="15"/>
        <v/>
      </c>
      <c r="AU73" s="534" t="str">
        <f t="shared" si="31"/>
        <v>入力済</v>
      </c>
      <c r="AV73" s="534" t="str">
        <f t="shared" si="32"/>
        <v/>
      </c>
      <c r="AW73" s="534" t="str">
        <f t="shared" si="16"/>
        <v/>
      </c>
      <c r="AX73" s="551" t="str">
        <f t="shared" si="33"/>
        <v/>
      </c>
      <c r="AY73" s="534" t="str">
        <f>IFERROR(VLOOKUP(K73,【参考】数式用!$AR$3:$AS$49, 2, FALSE), "")</f>
        <v/>
      </c>
      <c r="AZ73" s="551" t="str">
        <f t="shared" si="17"/>
        <v/>
      </c>
      <c r="BA73" s="555" t="str">
        <f t="shared" si="34"/>
        <v>入力済</v>
      </c>
      <c r="BB73" s="534" t="str">
        <f>IFERROR(VLOOKUP(K73,【参考】数式用!$AX$3:$AY$59, 2, FALSE), "")</f>
        <v/>
      </c>
      <c r="BC73" s="551" t="str">
        <f t="shared" si="18"/>
        <v/>
      </c>
      <c r="BD73" s="555" t="str">
        <f t="shared" si="35"/>
        <v>入力済</v>
      </c>
      <c r="BE73" s="555" t="str">
        <f t="shared" si="19"/>
        <v/>
      </c>
      <c r="BF73" s="555" t="str">
        <f t="shared" si="20"/>
        <v/>
      </c>
      <c r="BG73" s="555" t="str">
        <f t="shared" si="21"/>
        <v/>
      </c>
      <c r="BH73" s="555" t="str">
        <f t="shared" si="36"/>
        <v/>
      </c>
      <c r="BI73" s="555" t="str">
        <f t="shared" si="37"/>
        <v/>
      </c>
      <c r="BL73" t="str">
        <f t="shared" si="22"/>
        <v/>
      </c>
      <c r="BM73" t="str">
        <f t="shared" si="23"/>
        <v/>
      </c>
      <c r="BN73" t="str">
        <f t="shared" si="24"/>
        <v/>
      </c>
      <c r="BO73" s="562" t="str">
        <f>IF(BN73="対象",ROUNDDOWN(L73*VLOOKUP(K73,【参考】数式用!$A$4:$J$42,10,FALSE)*AA73,0),"")</f>
        <v/>
      </c>
      <c r="BP73" t="str">
        <f t="shared" si="25"/>
        <v/>
      </c>
    </row>
    <row r="74" spans="1:68" ht="109.95" customHeight="1" thickBot="1">
      <c r="A74" s="306">
        <v>61</v>
      </c>
      <c r="B74" s="646" t="str">
        <f>IF(基本情報入力シート!B96="","",基本情報入力シート!B96)</f>
        <v/>
      </c>
      <c r="C74" s="647"/>
      <c r="D74" s="647"/>
      <c r="E74" s="647"/>
      <c r="F74" s="648"/>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53" t="str">
        <f>IF(基本情報入力シート!AF96=0, "",基本情報入力シート!AF96)</f>
        <v/>
      </c>
      <c r="M74" s="519" t="str">
        <f>IF('別紙様式2-2（個票（４、５月））'!M74="","",'別紙様式2-2（個票（４、５月））'!M74)</f>
        <v/>
      </c>
      <c r="N74" s="518" t="str">
        <f>IF('別紙様式2-2（個票（４、５月））'!N74="","",'別紙様式2-2（個票（４、５月））'!N74)</f>
        <v/>
      </c>
      <c r="O74" s="289"/>
      <c r="P74" s="549" t="str">
        <f>IFERROR(VLOOKUP(K74,【参考】数式用!$A$2:$M$57,MATCH(O74,【参考】数式用!$G$3:$M$3,0)+6,0),"")</f>
        <v/>
      </c>
      <c r="Q74" s="313" t="s">
        <v>113</v>
      </c>
      <c r="R74" s="311"/>
      <c r="S74" s="312" t="s">
        <v>178</v>
      </c>
      <c r="T74" s="311"/>
      <c r="U74" s="312" t="s">
        <v>179</v>
      </c>
      <c r="V74" s="311"/>
      <c r="W74" s="312" t="s">
        <v>178</v>
      </c>
      <c r="X74" s="311"/>
      <c r="Y74" s="312" t="s">
        <v>180</v>
      </c>
      <c r="Z74" s="312" t="s">
        <v>181</v>
      </c>
      <c r="AA74" s="312" t="str">
        <f t="shared" si="27"/>
        <v/>
      </c>
      <c r="AB74" s="308" t="s">
        <v>182</v>
      </c>
      <c r="AC74" s="309" t="str">
        <f t="shared" si="11"/>
        <v/>
      </c>
      <c r="AD74" s="510" t="str">
        <f t="shared" si="12"/>
        <v/>
      </c>
      <c r="AE74" s="310" t="str">
        <f>IFERROR(ROUNDDOWN(ROUNDDOWN(ROUND(L74*VLOOKUP(K74,【参考】数式用!$A$2:$M$57,MATCH("処遇改善加算Ⅳ",【参考】数式用!$G$3:$M$3,0)+6,0),0),0)*AA74*0.5,0), "")</f>
        <v/>
      </c>
      <c r="AF74" s="321"/>
      <c r="AG74" s="322"/>
      <c r="AH74" s="322"/>
      <c r="AI74" s="321"/>
      <c r="AJ74" s="323"/>
      <c r="AK74" s="329"/>
      <c r="AL74" s="327" t="str">
        <f t="shared" si="28"/>
        <v/>
      </c>
      <c r="AM74" s="328" t="str">
        <f t="shared" si="13"/>
        <v/>
      </c>
      <c r="AN74" s="258"/>
      <c r="AO74" s="551" t="str">
        <f>IFERROR(VLOOKUP(K74,【参考】数式用!$A$2:$N$57,14,FALSE),"")</f>
        <v/>
      </c>
      <c r="AP74" s="551" t="str">
        <f t="shared" si="14"/>
        <v/>
      </c>
      <c r="AQ74" s="556" t="str">
        <f t="shared" si="29"/>
        <v/>
      </c>
      <c r="AR74" s="556" t="str">
        <f t="shared" si="26"/>
        <v>キャリアパス要件Ⅰ・Ⅱ_</v>
      </c>
      <c r="AS74" s="534" t="str">
        <f t="shared" si="30"/>
        <v>入力済</v>
      </c>
      <c r="AT74" s="551" t="str">
        <f t="shared" si="15"/>
        <v/>
      </c>
      <c r="AU74" s="534" t="str">
        <f t="shared" si="31"/>
        <v>入力済</v>
      </c>
      <c r="AV74" s="534" t="str">
        <f t="shared" si="32"/>
        <v/>
      </c>
      <c r="AW74" s="534" t="str">
        <f t="shared" si="16"/>
        <v/>
      </c>
      <c r="AX74" s="551" t="str">
        <f t="shared" si="33"/>
        <v/>
      </c>
      <c r="AY74" s="534" t="str">
        <f>IFERROR(VLOOKUP(K74,【参考】数式用!$AR$3:$AS$49, 2, FALSE), "")</f>
        <v/>
      </c>
      <c r="AZ74" s="551" t="str">
        <f t="shared" si="17"/>
        <v/>
      </c>
      <c r="BA74" s="555" t="str">
        <f t="shared" si="34"/>
        <v>入力済</v>
      </c>
      <c r="BB74" s="534" t="str">
        <f>IFERROR(VLOOKUP(K74,【参考】数式用!$AX$3:$AY$59, 2, FALSE), "")</f>
        <v/>
      </c>
      <c r="BC74" s="551" t="str">
        <f t="shared" si="18"/>
        <v/>
      </c>
      <c r="BD74" s="555" t="str">
        <f t="shared" si="35"/>
        <v>入力済</v>
      </c>
      <c r="BE74" s="555" t="str">
        <f t="shared" si="19"/>
        <v/>
      </c>
      <c r="BF74" s="555" t="str">
        <f t="shared" si="20"/>
        <v/>
      </c>
      <c r="BG74" s="555" t="str">
        <f t="shared" si="21"/>
        <v/>
      </c>
      <c r="BH74" s="555" t="str">
        <f t="shared" si="36"/>
        <v/>
      </c>
      <c r="BI74" s="555" t="str">
        <f t="shared" si="37"/>
        <v/>
      </c>
      <c r="BL74" t="str">
        <f t="shared" si="22"/>
        <v/>
      </c>
      <c r="BM74" t="str">
        <f t="shared" si="23"/>
        <v/>
      </c>
      <c r="BN74" t="str">
        <f t="shared" si="24"/>
        <v/>
      </c>
      <c r="BO74" s="562" t="str">
        <f>IF(BN74="対象",ROUNDDOWN(L74*VLOOKUP(K74,【参考】数式用!$A$4:$J$42,10,FALSE)*AA74,0),"")</f>
        <v/>
      </c>
      <c r="BP74" t="str">
        <f t="shared" si="25"/>
        <v/>
      </c>
    </row>
    <row r="75" spans="1:68" ht="109.95" customHeight="1" thickBot="1">
      <c r="A75" s="306">
        <v>62</v>
      </c>
      <c r="B75" s="646" t="str">
        <f>IF(基本情報入力シート!B97="","",基本情報入力シート!B97)</f>
        <v/>
      </c>
      <c r="C75" s="647"/>
      <c r="D75" s="647"/>
      <c r="E75" s="647"/>
      <c r="F75" s="648"/>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53" t="str">
        <f>IF(基本情報入力シート!AF97=0, "",基本情報入力シート!AF97)</f>
        <v/>
      </c>
      <c r="M75" s="519" t="str">
        <f>IF('別紙様式2-2（個票（４、５月））'!M75="","",'別紙様式2-2（個票（４、５月））'!M75)</f>
        <v/>
      </c>
      <c r="N75" s="518" t="str">
        <f>IF('別紙様式2-2（個票（４、５月））'!N75="","",'別紙様式2-2（個票（４、５月））'!N75)</f>
        <v/>
      </c>
      <c r="O75" s="289"/>
      <c r="P75" s="549" t="str">
        <f>IFERROR(VLOOKUP(K75,【参考】数式用!$A$2:$M$57,MATCH(O75,【参考】数式用!$G$3:$M$3,0)+6,0),"")</f>
        <v/>
      </c>
      <c r="Q75" s="313" t="s">
        <v>113</v>
      </c>
      <c r="R75" s="311"/>
      <c r="S75" s="312" t="s">
        <v>178</v>
      </c>
      <c r="T75" s="311"/>
      <c r="U75" s="312" t="s">
        <v>179</v>
      </c>
      <c r="V75" s="311"/>
      <c r="W75" s="312" t="s">
        <v>178</v>
      </c>
      <c r="X75" s="311"/>
      <c r="Y75" s="312" t="s">
        <v>180</v>
      </c>
      <c r="Z75" s="312" t="s">
        <v>181</v>
      </c>
      <c r="AA75" s="312" t="str">
        <f t="shared" si="27"/>
        <v/>
      </c>
      <c r="AB75" s="308" t="s">
        <v>182</v>
      </c>
      <c r="AC75" s="309" t="str">
        <f t="shared" si="11"/>
        <v/>
      </c>
      <c r="AD75" s="510" t="str">
        <f t="shared" si="12"/>
        <v/>
      </c>
      <c r="AE75" s="310" t="str">
        <f>IFERROR(ROUNDDOWN(ROUNDDOWN(ROUND(L75*VLOOKUP(K75,【参考】数式用!$A$2:$M$57,MATCH("処遇改善加算Ⅳ",【参考】数式用!$G$3:$M$3,0)+6,0),0),0)*AA75*0.5,0), "")</f>
        <v/>
      </c>
      <c r="AF75" s="321"/>
      <c r="AG75" s="322"/>
      <c r="AH75" s="322"/>
      <c r="AI75" s="321"/>
      <c r="AJ75" s="323"/>
      <c r="AK75" s="329"/>
      <c r="AL75" s="327" t="str">
        <f t="shared" si="28"/>
        <v/>
      </c>
      <c r="AM75" s="328" t="str">
        <f t="shared" si="13"/>
        <v/>
      </c>
      <c r="AN75" s="258"/>
      <c r="AO75" s="551" t="str">
        <f>IFERROR(VLOOKUP(K75,【参考】数式用!$A$2:$N$57,14,FALSE),"")</f>
        <v/>
      </c>
      <c r="AP75" s="551" t="str">
        <f t="shared" si="14"/>
        <v/>
      </c>
      <c r="AQ75" s="556" t="str">
        <f t="shared" si="29"/>
        <v/>
      </c>
      <c r="AR75" s="556" t="str">
        <f t="shared" si="26"/>
        <v>キャリアパス要件Ⅰ・Ⅱ_</v>
      </c>
      <c r="AS75" s="534" t="str">
        <f t="shared" si="30"/>
        <v>入力済</v>
      </c>
      <c r="AT75" s="551" t="str">
        <f t="shared" si="15"/>
        <v/>
      </c>
      <c r="AU75" s="534" t="str">
        <f t="shared" si="31"/>
        <v>入力済</v>
      </c>
      <c r="AV75" s="534" t="str">
        <f t="shared" si="32"/>
        <v/>
      </c>
      <c r="AW75" s="534" t="str">
        <f t="shared" si="16"/>
        <v/>
      </c>
      <c r="AX75" s="551" t="str">
        <f t="shared" si="33"/>
        <v/>
      </c>
      <c r="AY75" s="534" t="str">
        <f>IFERROR(VLOOKUP(K75,【参考】数式用!$AR$3:$AS$49, 2, FALSE), "")</f>
        <v/>
      </c>
      <c r="AZ75" s="551" t="str">
        <f t="shared" si="17"/>
        <v/>
      </c>
      <c r="BA75" s="555" t="str">
        <f t="shared" si="34"/>
        <v>入力済</v>
      </c>
      <c r="BB75" s="534" t="str">
        <f>IFERROR(VLOOKUP(K75,【参考】数式用!$AX$3:$AY$59, 2, FALSE), "")</f>
        <v/>
      </c>
      <c r="BC75" s="551" t="str">
        <f t="shared" si="18"/>
        <v/>
      </c>
      <c r="BD75" s="555" t="str">
        <f t="shared" si="35"/>
        <v>入力済</v>
      </c>
      <c r="BE75" s="555" t="str">
        <f t="shared" si="19"/>
        <v/>
      </c>
      <c r="BF75" s="555" t="str">
        <f t="shared" si="20"/>
        <v/>
      </c>
      <c r="BG75" s="555" t="str">
        <f t="shared" si="21"/>
        <v/>
      </c>
      <c r="BH75" s="555" t="str">
        <f t="shared" si="36"/>
        <v/>
      </c>
      <c r="BI75" s="555" t="str">
        <f t="shared" si="37"/>
        <v/>
      </c>
      <c r="BL75" t="str">
        <f t="shared" si="22"/>
        <v/>
      </c>
      <c r="BM75" t="str">
        <f t="shared" si="23"/>
        <v/>
      </c>
      <c r="BN75" t="str">
        <f t="shared" si="24"/>
        <v/>
      </c>
      <c r="BO75" s="562" t="str">
        <f>IF(BN75="対象",ROUNDDOWN(L75*VLOOKUP(K75,【参考】数式用!$A$4:$J$42,10,FALSE)*AA75,0),"")</f>
        <v/>
      </c>
      <c r="BP75" t="str">
        <f t="shared" si="25"/>
        <v/>
      </c>
    </row>
    <row r="76" spans="1:68" ht="109.95" customHeight="1" thickBot="1">
      <c r="A76" s="306">
        <v>63</v>
      </c>
      <c r="B76" s="646" t="str">
        <f>IF(基本情報入力シート!B98="","",基本情報入力シート!B98)</f>
        <v/>
      </c>
      <c r="C76" s="647"/>
      <c r="D76" s="647"/>
      <c r="E76" s="647"/>
      <c r="F76" s="648"/>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53" t="str">
        <f>IF(基本情報入力シート!AF98=0, "",基本情報入力シート!AF98)</f>
        <v/>
      </c>
      <c r="M76" s="519" t="str">
        <f>IF('別紙様式2-2（個票（４、５月））'!M76="","",'別紙様式2-2（個票（４、５月））'!M76)</f>
        <v/>
      </c>
      <c r="N76" s="518" t="str">
        <f>IF('別紙様式2-2（個票（４、５月））'!N76="","",'別紙様式2-2（個票（４、５月））'!N76)</f>
        <v/>
      </c>
      <c r="O76" s="289"/>
      <c r="P76" s="549" t="str">
        <f>IFERROR(VLOOKUP(K76,【参考】数式用!$A$2:$M$57,MATCH(O76,【参考】数式用!$G$3:$M$3,0)+6,0),"")</f>
        <v/>
      </c>
      <c r="Q76" s="313" t="s">
        <v>113</v>
      </c>
      <c r="R76" s="311"/>
      <c r="S76" s="312" t="s">
        <v>178</v>
      </c>
      <c r="T76" s="311"/>
      <c r="U76" s="312" t="s">
        <v>179</v>
      </c>
      <c r="V76" s="311"/>
      <c r="W76" s="312" t="s">
        <v>178</v>
      </c>
      <c r="X76" s="311"/>
      <c r="Y76" s="312" t="s">
        <v>115</v>
      </c>
      <c r="Z76" s="312" t="s">
        <v>181</v>
      </c>
      <c r="AA76" s="312" t="str">
        <f t="shared" si="27"/>
        <v/>
      </c>
      <c r="AB76" s="308" t="s">
        <v>182</v>
      </c>
      <c r="AC76" s="309" t="str">
        <f t="shared" si="11"/>
        <v/>
      </c>
      <c r="AD76" s="510" t="str">
        <f t="shared" si="12"/>
        <v/>
      </c>
      <c r="AE76" s="310" t="str">
        <f>IFERROR(ROUNDDOWN(ROUNDDOWN(ROUND(L76*VLOOKUP(K76,【参考】数式用!$A$2:$M$57,MATCH("処遇改善加算Ⅳ",【参考】数式用!$G$3:$M$3,0)+6,0),0),0)*AA76*0.5,0), "")</f>
        <v/>
      </c>
      <c r="AF76" s="321"/>
      <c r="AG76" s="322"/>
      <c r="AH76" s="322"/>
      <c r="AI76" s="321"/>
      <c r="AJ76" s="323"/>
      <c r="AK76" s="329"/>
      <c r="AL76" s="327" t="str">
        <f t="shared" si="28"/>
        <v/>
      </c>
      <c r="AM76" s="328" t="str">
        <f t="shared" si="13"/>
        <v/>
      </c>
      <c r="AN76" s="258"/>
      <c r="AO76" s="551" t="str">
        <f>IFERROR(VLOOKUP(K76,【参考】数式用!$A$2:$N$57,14,FALSE),"")</f>
        <v/>
      </c>
      <c r="AP76" s="551" t="str">
        <f t="shared" si="14"/>
        <v/>
      </c>
      <c r="AQ76" s="556" t="str">
        <f t="shared" si="29"/>
        <v/>
      </c>
      <c r="AR76" s="556" t="str">
        <f t="shared" si="26"/>
        <v>キャリアパス要件Ⅰ・Ⅱ_</v>
      </c>
      <c r="AS76" s="534" t="str">
        <f t="shared" si="30"/>
        <v>入力済</v>
      </c>
      <c r="AT76" s="551" t="str">
        <f t="shared" si="15"/>
        <v/>
      </c>
      <c r="AU76" s="534" t="str">
        <f t="shared" si="31"/>
        <v>入力済</v>
      </c>
      <c r="AV76" s="534" t="str">
        <f t="shared" si="32"/>
        <v/>
      </c>
      <c r="AW76" s="534" t="str">
        <f t="shared" si="16"/>
        <v/>
      </c>
      <c r="AX76" s="551" t="str">
        <f t="shared" si="33"/>
        <v/>
      </c>
      <c r="AY76" s="534" t="str">
        <f>IFERROR(VLOOKUP(K76,【参考】数式用!$AR$3:$AS$49, 2, FALSE), "")</f>
        <v/>
      </c>
      <c r="AZ76" s="551" t="str">
        <f t="shared" si="17"/>
        <v/>
      </c>
      <c r="BA76" s="555" t="str">
        <f t="shared" si="34"/>
        <v>入力済</v>
      </c>
      <c r="BB76" s="534" t="str">
        <f>IFERROR(VLOOKUP(K76,【参考】数式用!$AX$3:$AY$59, 2, FALSE), "")</f>
        <v/>
      </c>
      <c r="BC76" s="551" t="str">
        <f t="shared" si="18"/>
        <v/>
      </c>
      <c r="BD76" s="555" t="str">
        <f t="shared" si="35"/>
        <v>入力済</v>
      </c>
      <c r="BE76" s="555" t="str">
        <f t="shared" si="19"/>
        <v/>
      </c>
      <c r="BF76" s="555" t="str">
        <f t="shared" si="20"/>
        <v/>
      </c>
      <c r="BG76" s="555" t="str">
        <f t="shared" si="21"/>
        <v/>
      </c>
      <c r="BH76" s="555" t="str">
        <f t="shared" si="36"/>
        <v/>
      </c>
      <c r="BI76" s="555" t="str">
        <f t="shared" si="37"/>
        <v/>
      </c>
      <c r="BL76" t="str">
        <f t="shared" si="22"/>
        <v/>
      </c>
      <c r="BM76" t="str">
        <f t="shared" si="23"/>
        <v/>
      </c>
      <c r="BN76" t="str">
        <f t="shared" si="24"/>
        <v/>
      </c>
      <c r="BO76" s="562" t="str">
        <f>IF(BN76="対象",ROUNDDOWN(L76*VLOOKUP(K76,【参考】数式用!$A$4:$J$42,10,FALSE)*AA76,0),"")</f>
        <v/>
      </c>
      <c r="BP76" t="str">
        <f t="shared" si="25"/>
        <v/>
      </c>
    </row>
    <row r="77" spans="1:68" ht="109.95" customHeight="1" thickBot="1">
      <c r="A77" s="306">
        <v>64</v>
      </c>
      <c r="B77" s="646" t="str">
        <f>IF(基本情報入力シート!B99="","",基本情報入力シート!B99)</f>
        <v/>
      </c>
      <c r="C77" s="647"/>
      <c r="D77" s="647"/>
      <c r="E77" s="647"/>
      <c r="F77" s="648"/>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53" t="str">
        <f>IF(基本情報入力シート!AF99=0, "",基本情報入力シート!AF99)</f>
        <v/>
      </c>
      <c r="M77" s="519" t="str">
        <f>IF('別紙様式2-2（個票（４、５月））'!M77="","",'別紙様式2-2（個票（４、５月））'!M77)</f>
        <v/>
      </c>
      <c r="N77" s="518" t="str">
        <f>IF('別紙様式2-2（個票（４、５月））'!N77="","",'別紙様式2-2（個票（４、５月））'!N77)</f>
        <v/>
      </c>
      <c r="O77" s="289"/>
      <c r="P77" s="549" t="str">
        <f>IFERROR(VLOOKUP(K77,【参考】数式用!$A$2:$M$57,MATCH(O77,【参考】数式用!$G$3:$M$3,0)+6,0),"")</f>
        <v/>
      </c>
      <c r="Q77" s="313" t="s">
        <v>113</v>
      </c>
      <c r="R77" s="311"/>
      <c r="S77" s="312" t="s">
        <v>178</v>
      </c>
      <c r="T77" s="311"/>
      <c r="U77" s="312" t="s">
        <v>179</v>
      </c>
      <c r="V77" s="311"/>
      <c r="W77" s="312" t="s">
        <v>178</v>
      </c>
      <c r="X77" s="311"/>
      <c r="Y77" s="312" t="s">
        <v>180</v>
      </c>
      <c r="Z77" s="312" t="s">
        <v>181</v>
      </c>
      <c r="AA77" s="312" t="str">
        <f t="shared" si="27"/>
        <v/>
      </c>
      <c r="AB77" s="308" t="s">
        <v>182</v>
      </c>
      <c r="AC77" s="309" t="str">
        <f t="shared" si="11"/>
        <v/>
      </c>
      <c r="AD77" s="510" t="str">
        <f t="shared" si="12"/>
        <v/>
      </c>
      <c r="AE77" s="310" t="str">
        <f>IFERROR(ROUNDDOWN(ROUNDDOWN(ROUND(L77*VLOOKUP(K77,【参考】数式用!$A$2:$M$57,MATCH("処遇改善加算Ⅳ",【参考】数式用!$G$3:$M$3,0)+6,0),0),0)*AA77*0.5,0), "")</f>
        <v/>
      </c>
      <c r="AF77" s="321"/>
      <c r="AG77" s="322"/>
      <c r="AH77" s="322"/>
      <c r="AI77" s="321"/>
      <c r="AJ77" s="323"/>
      <c r="AK77" s="329"/>
      <c r="AL77" s="327"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8" t="str">
        <f t="shared" si="13"/>
        <v/>
      </c>
      <c r="AN77" s="258"/>
      <c r="AO77" s="551" t="str">
        <f>IFERROR(VLOOKUP(K77,【参考】数式用!$A$2:$N$57,14,FALSE),"")</f>
        <v/>
      </c>
      <c r="AP77" s="551" t="str">
        <f t="shared" si="14"/>
        <v/>
      </c>
      <c r="AQ77" s="556" t="str">
        <f t="shared" ref="AQ77:AQ113" si="39">IF(AND(AE77&lt;&gt;0,AE77&lt;&gt;"",AO77="加算対象"),IF(AF77="○","入力済","未入力"),"")</f>
        <v/>
      </c>
      <c r="AR77" s="556" t="str">
        <f t="shared" si="26"/>
        <v>キャリアパス要件Ⅰ・Ⅱ_</v>
      </c>
      <c r="AS77" s="534" t="str">
        <f t="shared" ref="AS77:AS113" si="40">IF(AND(O77&lt;&gt;"", AG77=""), "未入力", "入力済")</f>
        <v>入力済</v>
      </c>
      <c r="AT77" s="551" t="str">
        <f t="shared" si="15"/>
        <v/>
      </c>
      <c r="AU77" s="534" t="str">
        <f t="shared" ref="AU77:AU113" si="41">IF(AND(O77&lt;&gt;"", O77&lt;&gt;"処遇改善加算Ⅳ",O77&lt;&gt;"処遇改善加算", AH77=""), "未入力", "入力済")</f>
        <v>入力済</v>
      </c>
      <c r="AV77" s="534" t="str">
        <f t="shared" ref="AV77:AV113" si="42">IF(OR(ISNUMBER(SEARCH("処遇改善加算Ⅰ",O77)),ISNUMBER(SEARCH("処遇改善加算Ⅱ",O77))),"対象","")</f>
        <v/>
      </c>
      <c r="AW77" s="534" t="str">
        <f t="shared" si="16"/>
        <v/>
      </c>
      <c r="AX77" s="551" t="str">
        <f t="shared" ref="AX77:AX108" si="43">IF(AND(AW77=1, OR(AI77=0,AI77=""),AO77="加算対象"),"AH列に色付け","")</f>
        <v/>
      </c>
      <c r="AY77" s="534" t="str">
        <f>IFERROR(VLOOKUP(K77,【参考】数式用!$AR$3:$AS$49, 2, FALSE), "")</f>
        <v/>
      </c>
      <c r="AZ77" s="551" t="str">
        <f t="shared" si="17"/>
        <v/>
      </c>
      <c r="BA77" s="555" t="str">
        <f t="shared" ref="BA77:BA113" si="44">IF(AND(OR(O77="処遇改善加算Ⅰイ",O77="処遇改善加算Ⅰロ"), AJ77=""), "未入力","入力済")</f>
        <v>入力済</v>
      </c>
      <c r="BB77" s="534" t="str">
        <f>IFERROR(VLOOKUP(K77,【参考】数式用!$AX$3:$AY$59, 2, FALSE), "")</f>
        <v/>
      </c>
      <c r="BC77" s="551" t="str">
        <f t="shared" si="18"/>
        <v/>
      </c>
      <c r="BD77" s="555" t="str">
        <f t="shared" ref="BD77:BD113" si="45">IF(AND(COUNTIF(AG77:AI77,"*令和８年度特例要件を*")&gt;0,AK77=""), "未入力","入力済")</f>
        <v>入力済</v>
      </c>
      <c r="BE77" s="555" t="str">
        <f t="shared" si="19"/>
        <v/>
      </c>
      <c r="BF77" s="555" t="str">
        <f t="shared" si="20"/>
        <v/>
      </c>
      <c r="BG77" s="555" t="str">
        <f t="shared" si="21"/>
        <v/>
      </c>
      <c r="BH77" s="555" t="str">
        <f t="shared" ref="BH77:BH108" si="46">IF(AND(BE77="",BG77="入力必要"),IF(AK77="","未入力","入力済"),"")</f>
        <v/>
      </c>
      <c r="BI77" s="555" t="str">
        <f t="shared" ref="BI77:BI113" si="47">G77</f>
        <v/>
      </c>
      <c r="BL77" t="str">
        <f t="shared" si="22"/>
        <v/>
      </c>
      <c r="BM77" t="str">
        <f t="shared" si="23"/>
        <v/>
      </c>
      <c r="BN77" t="str">
        <f t="shared" si="24"/>
        <v/>
      </c>
      <c r="BO77" s="562" t="str">
        <f>IF(BN77="対象",ROUNDDOWN(L77*VLOOKUP(K77,【参考】数式用!$A$4:$J$42,10,FALSE)*AA77,0),"")</f>
        <v/>
      </c>
      <c r="BP77" t="str">
        <f t="shared" si="25"/>
        <v/>
      </c>
    </row>
    <row r="78" spans="1:68" ht="109.95" customHeight="1" thickBot="1">
      <c r="A78" s="306">
        <v>65</v>
      </c>
      <c r="B78" s="646" t="str">
        <f>IF(基本情報入力シート!B100="","",基本情報入力シート!B100)</f>
        <v/>
      </c>
      <c r="C78" s="647"/>
      <c r="D78" s="647"/>
      <c r="E78" s="647"/>
      <c r="F78" s="648"/>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53" t="str">
        <f>IF(基本情報入力シート!AF100=0, "",基本情報入力シート!AF100)</f>
        <v/>
      </c>
      <c r="M78" s="519" t="str">
        <f>IF('別紙様式2-2（個票（４、５月））'!M78="","",'別紙様式2-2（個票（４、５月））'!M78)</f>
        <v/>
      </c>
      <c r="N78" s="518" t="str">
        <f>IF('別紙様式2-2（個票（４、５月））'!N78="","",'別紙様式2-2（個票（４、５月））'!N78)</f>
        <v/>
      </c>
      <c r="O78" s="289"/>
      <c r="P78" s="549" t="str">
        <f>IFERROR(VLOOKUP(K78,【参考】数式用!$A$2:$M$57,MATCH(O78,【参考】数式用!$G$3:$M$3,0)+6,0),"")</f>
        <v/>
      </c>
      <c r="Q78" s="313" t="s">
        <v>113</v>
      </c>
      <c r="R78" s="311"/>
      <c r="S78" s="312" t="s">
        <v>178</v>
      </c>
      <c r="T78" s="311"/>
      <c r="U78" s="312" t="s">
        <v>179</v>
      </c>
      <c r="V78" s="311"/>
      <c r="W78" s="312" t="s">
        <v>178</v>
      </c>
      <c r="X78" s="311"/>
      <c r="Y78" s="312" t="s">
        <v>180</v>
      </c>
      <c r="Z78" s="312" t="s">
        <v>181</v>
      </c>
      <c r="AA78" s="312" t="str">
        <f t="shared" si="27"/>
        <v/>
      </c>
      <c r="AB78" s="308" t="s">
        <v>182</v>
      </c>
      <c r="AC78" s="309" t="str">
        <f t="shared" ref="AC78:AC113" si="48">IFERROR(ROUNDDOWN(ROUND(L78*P78,0),0)*AA78,"")</f>
        <v/>
      </c>
      <c r="AD78" s="510" t="str">
        <f t="shared" ref="AD78:AD113" si="49">IFERROR(ROUNDDOWN(ROUND((L78*(P78-N78)),0),0)*AA78,"")</f>
        <v/>
      </c>
      <c r="AE78" s="310" t="str">
        <f>IFERROR(ROUNDDOWN(ROUNDDOWN(ROUND(L78*VLOOKUP(K78,【参考】数式用!$A$2:$M$57,MATCH("処遇改善加算Ⅳ",【参考】数式用!$G$3:$M$3,0)+6,0),0),0)*AA78*0.5,0), "")</f>
        <v/>
      </c>
      <c r="AF78" s="321"/>
      <c r="AG78" s="322"/>
      <c r="AH78" s="322"/>
      <c r="AI78" s="321"/>
      <c r="AJ78" s="323"/>
      <c r="AK78" s="329"/>
      <c r="AL78" s="327" t="str">
        <f t="shared" si="38"/>
        <v/>
      </c>
      <c r="AM78" s="328" t="str">
        <f t="shared" ref="AM78:AM113"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8"/>
      <c r="AO78" s="551" t="str">
        <f>IFERROR(VLOOKUP(K78,【参考】数式用!$A$2:$N$57,14,FALSE),"")</f>
        <v/>
      </c>
      <c r="AP78" s="551" t="str">
        <f t="shared" ref="AP78:AP114" si="51">IF(AND(K78&lt;&gt;""),"O列に色付け","")</f>
        <v/>
      </c>
      <c r="AQ78" s="556" t="str">
        <f t="shared" si="39"/>
        <v/>
      </c>
      <c r="AR78" s="556" t="str">
        <f t="shared" si="26"/>
        <v>キャリアパス要件Ⅰ・Ⅱ_</v>
      </c>
      <c r="AS78" s="534" t="str">
        <f t="shared" si="40"/>
        <v>入力済</v>
      </c>
      <c r="AT78" s="551" t="str">
        <f t="shared" ref="AT78:AT113" si="52">IF(AND(O78&lt;&gt;"", O78&lt;&gt;"処遇改善加算Ⅳ",AO78="加算対象"),"AH列に色付け","")</f>
        <v/>
      </c>
      <c r="AU78" s="534" t="str">
        <f t="shared" si="41"/>
        <v>入力済</v>
      </c>
      <c r="AV78" s="534" t="str">
        <f t="shared" si="42"/>
        <v/>
      </c>
      <c r="AW78" s="534" t="str">
        <f t="shared" ref="AW78:AW113" si="53">IF(AND(O78&lt;&gt;"", O78&lt;&gt;"処遇改善加算Ⅲ", O78&lt;&gt;"処遇改善加算Ⅳ",O78&lt;&gt;"処遇改善加算"),"対象", "")</f>
        <v/>
      </c>
      <c r="AX78" s="551" t="str">
        <f t="shared" si="43"/>
        <v/>
      </c>
      <c r="AY78" s="534" t="str">
        <f>IFERROR(VLOOKUP(K78,【参考】数式用!$AR$3:$AS$49, 2, FALSE), "")</f>
        <v/>
      </c>
      <c r="AZ78" s="551" t="str">
        <f t="shared" ref="AZ78:AZ113" si="54">IF(AND(AO78="加算対象",OR(O78="処遇改善加算Ⅰイ",O78="処遇改善加算Ⅰロ")),"AJ列に色付け","")</f>
        <v/>
      </c>
      <c r="BA78" s="555" t="str">
        <f t="shared" si="44"/>
        <v>入力済</v>
      </c>
      <c r="BB78" s="534" t="str">
        <f>IFERROR(VLOOKUP(K78,【参考】数式用!$AX$3:$AY$59, 2, FALSE), "")</f>
        <v/>
      </c>
      <c r="BC78" s="551" t="str">
        <f t="shared" ref="BC78:BC113" si="55">IF(OR(COUNTIF(AG78:AI78,"*令和８年度特例要件を*")&gt;0,ISNUMBER(SEARCH("処遇改善加算Ⅰロ",O78)),ISNUMBER(SEARCH("処遇改善加算Ⅱロ",O78)),AO78="加算対象外"),"AK列に色付け","")</f>
        <v/>
      </c>
      <c r="BD78" s="555" t="str">
        <f t="shared" si="45"/>
        <v>入力済</v>
      </c>
      <c r="BE78" s="555" t="str">
        <f t="shared" ref="BE78:BE113" si="56">IF(OR(ISNUMBER(SEARCH("処遇改善加算Ⅰロ",O78)),ISNUMBER(SEARCH("処遇改善加算Ⅱロ",O78))),"",IF(AND(BC78="AK列に色付け",AG78="○",AH78="○",AI78&gt;=1),"AK列色消し",""))</f>
        <v/>
      </c>
      <c r="BF78" s="555" t="str">
        <f t="shared" ref="BF78:BF113" si="57">IF(AND(O78="処遇改善加算",AG78="○"),"AK列色消し","")</f>
        <v/>
      </c>
      <c r="BG78" s="555" t="str">
        <f t="shared" ref="BG78:BG113" si="58">IF(OR(TRIM(BC78)="",BE78="AK列色消し",BF78="AK列色消し"),"","入力必要")</f>
        <v/>
      </c>
      <c r="BH78" s="555" t="str">
        <f t="shared" si="46"/>
        <v/>
      </c>
      <c r="BI78" s="555" t="str">
        <f t="shared" si="47"/>
        <v/>
      </c>
      <c r="BL78" t="str">
        <f t="shared" ref="BL78:BL113" si="59">IF(AND(K78&lt;&gt;"",K78&lt;&gt;"計画相談支援",K78&lt;&gt;"地域相談支援（地域定着支援）",K78&lt;&gt;"地域相談支援（地域移行支援）",K78&lt;&gt;"障害児相談支援"),"O列に色付け","")</f>
        <v/>
      </c>
      <c r="BM78" t="str">
        <f t="shared" ref="BM78:BM114" si="60">IF(OR(O78="処遇改善加算Ⅰロ",O78="処遇改善加算Ⅱロ"),"対象","")</f>
        <v/>
      </c>
      <c r="BN78" t="str">
        <f t="shared" ref="BN78:BN115" si="61">IF(BM78="","",IF(OR(K78="重度障害者等包括支援",K78="施設入所支援",K78="短期入所",K78="就労定着支援",K78="居宅訪問型児童発達支援",K78="保育所等訪問支援"),"特例","対象"))</f>
        <v/>
      </c>
      <c r="BO78" s="562" t="str">
        <f>IF(BN78="対象",ROUNDDOWN(L78*VLOOKUP(K78,【参考】数式用!$A$4:$J$42,10,FALSE)*AA78,0),"")</f>
        <v/>
      </c>
      <c r="BP78" t="str">
        <f t="shared" ref="BP78:BP115" si="62">IF(BN78="特例",AC78,"")</f>
        <v/>
      </c>
    </row>
    <row r="79" spans="1:68" ht="109.95" customHeight="1" thickBot="1">
      <c r="A79" s="306">
        <v>66</v>
      </c>
      <c r="B79" s="646" t="str">
        <f>IF(基本情報入力シート!B101="","",基本情報入力シート!B101)</f>
        <v/>
      </c>
      <c r="C79" s="647"/>
      <c r="D79" s="647"/>
      <c r="E79" s="647"/>
      <c r="F79" s="648"/>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53" t="str">
        <f>IF(基本情報入力シート!AF101=0, "",基本情報入力シート!AF101)</f>
        <v/>
      </c>
      <c r="M79" s="519" t="str">
        <f>IF('別紙様式2-2（個票（４、５月））'!M79="","",'別紙様式2-2（個票（４、５月））'!M79)</f>
        <v/>
      </c>
      <c r="N79" s="518" t="str">
        <f>IF('別紙様式2-2（個票（４、５月））'!N79="","",'別紙様式2-2（個票（４、５月））'!N79)</f>
        <v/>
      </c>
      <c r="O79" s="289"/>
      <c r="P79" s="549" t="str">
        <f>IFERROR(VLOOKUP(K79,【参考】数式用!$A$2:$M$57,MATCH(O79,【参考】数式用!$G$3:$M$3,0)+6,0),"")</f>
        <v/>
      </c>
      <c r="Q79" s="313" t="s">
        <v>113</v>
      </c>
      <c r="R79" s="311"/>
      <c r="S79" s="312" t="s">
        <v>178</v>
      </c>
      <c r="T79" s="311"/>
      <c r="U79" s="312" t="s">
        <v>179</v>
      </c>
      <c r="V79" s="311"/>
      <c r="W79" s="312" t="s">
        <v>178</v>
      </c>
      <c r="X79" s="311"/>
      <c r="Y79" s="312" t="s">
        <v>180</v>
      </c>
      <c r="Z79" s="312" t="s">
        <v>181</v>
      </c>
      <c r="AA79" s="312" t="str">
        <f t="shared" si="27"/>
        <v/>
      </c>
      <c r="AB79" s="308" t="s">
        <v>182</v>
      </c>
      <c r="AC79" s="309" t="str">
        <f t="shared" si="48"/>
        <v/>
      </c>
      <c r="AD79" s="510" t="str">
        <f t="shared" si="49"/>
        <v/>
      </c>
      <c r="AE79" s="310" t="str">
        <f>IFERROR(ROUNDDOWN(ROUNDDOWN(ROUND(L79*VLOOKUP(K79,【参考】数式用!$A$2:$M$57,MATCH("処遇改善加算Ⅳ",【参考】数式用!$G$3:$M$3,0)+6,0),0),0)*AA79*0.5,0), "")</f>
        <v/>
      </c>
      <c r="AF79" s="321"/>
      <c r="AG79" s="322"/>
      <c r="AH79" s="322"/>
      <c r="AI79" s="321"/>
      <c r="AJ79" s="323"/>
      <c r="AK79" s="329"/>
      <c r="AL79" s="327" t="str">
        <f t="shared" si="38"/>
        <v/>
      </c>
      <c r="AM79" s="328" t="str">
        <f t="shared" si="50"/>
        <v/>
      </c>
      <c r="AN79" s="258"/>
      <c r="AO79" s="551" t="str">
        <f>IFERROR(VLOOKUP(K79,【参考】数式用!$A$2:$N$57,14,FALSE),"")</f>
        <v/>
      </c>
      <c r="AP79" s="551" t="str">
        <f t="shared" si="51"/>
        <v/>
      </c>
      <c r="AQ79" s="556" t="str">
        <f t="shared" si="39"/>
        <v/>
      </c>
      <c r="AR79" s="556" t="str">
        <f t="shared" ref="AR79:AR113" si="63">"キャリアパス要件Ⅰ・Ⅱ_"&amp;AO79</f>
        <v>キャリアパス要件Ⅰ・Ⅱ_</v>
      </c>
      <c r="AS79" s="534" t="str">
        <f t="shared" si="40"/>
        <v>入力済</v>
      </c>
      <c r="AT79" s="551" t="str">
        <f t="shared" si="52"/>
        <v/>
      </c>
      <c r="AU79" s="534" t="str">
        <f t="shared" si="41"/>
        <v>入力済</v>
      </c>
      <c r="AV79" s="534" t="str">
        <f t="shared" si="42"/>
        <v/>
      </c>
      <c r="AW79" s="534" t="str">
        <f t="shared" si="53"/>
        <v/>
      </c>
      <c r="AX79" s="551" t="str">
        <f t="shared" si="43"/>
        <v/>
      </c>
      <c r="AY79" s="534" t="str">
        <f>IFERROR(VLOOKUP(K79,【参考】数式用!$AR$3:$AS$49, 2, FALSE), "")</f>
        <v/>
      </c>
      <c r="AZ79" s="551" t="str">
        <f t="shared" si="54"/>
        <v/>
      </c>
      <c r="BA79" s="555" t="str">
        <f t="shared" si="44"/>
        <v>入力済</v>
      </c>
      <c r="BB79" s="534" t="str">
        <f>IFERROR(VLOOKUP(K79,【参考】数式用!$AX$3:$AY$59, 2, FALSE), "")</f>
        <v/>
      </c>
      <c r="BC79" s="551" t="str">
        <f t="shared" si="55"/>
        <v/>
      </c>
      <c r="BD79" s="555" t="str">
        <f t="shared" si="45"/>
        <v>入力済</v>
      </c>
      <c r="BE79" s="555" t="str">
        <f t="shared" si="56"/>
        <v/>
      </c>
      <c r="BF79" s="555" t="str">
        <f t="shared" si="57"/>
        <v/>
      </c>
      <c r="BG79" s="555" t="str">
        <f t="shared" si="58"/>
        <v/>
      </c>
      <c r="BH79" s="555" t="str">
        <f t="shared" si="46"/>
        <v/>
      </c>
      <c r="BI79" s="555" t="str">
        <f t="shared" si="47"/>
        <v/>
      </c>
      <c r="BL79" t="str">
        <f t="shared" si="59"/>
        <v/>
      </c>
      <c r="BM79" t="str">
        <f t="shared" si="60"/>
        <v/>
      </c>
      <c r="BN79" t="str">
        <f t="shared" si="61"/>
        <v/>
      </c>
      <c r="BO79" s="562" t="str">
        <f>IF(BN79="対象",ROUNDDOWN(L79*VLOOKUP(K79,【参考】数式用!$A$4:$J$42,10,FALSE)*AA79,0),"")</f>
        <v/>
      </c>
      <c r="BP79" t="str">
        <f t="shared" si="62"/>
        <v/>
      </c>
    </row>
    <row r="80" spans="1:68" ht="109.95" customHeight="1" thickBot="1">
      <c r="A80" s="306">
        <v>67</v>
      </c>
      <c r="B80" s="646" t="str">
        <f>IF(基本情報入力シート!B102="","",基本情報入力シート!B102)</f>
        <v/>
      </c>
      <c r="C80" s="647"/>
      <c r="D80" s="647"/>
      <c r="E80" s="647"/>
      <c r="F80" s="648"/>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53" t="str">
        <f>IF(基本情報入力シート!AF102=0, "",基本情報入力シート!AF102)</f>
        <v/>
      </c>
      <c r="M80" s="519" t="str">
        <f>IF('別紙様式2-2（個票（４、５月））'!M80="","",'別紙様式2-2（個票（４、５月））'!M80)</f>
        <v/>
      </c>
      <c r="N80" s="518" t="str">
        <f>IF('別紙様式2-2（個票（４、５月））'!N80="","",'別紙様式2-2（個票（４、５月））'!N80)</f>
        <v/>
      </c>
      <c r="O80" s="289"/>
      <c r="P80" s="549" t="str">
        <f>IFERROR(VLOOKUP(K80,【参考】数式用!$A$2:$M$57,MATCH(O80,【参考】数式用!$G$3:$M$3,0)+6,0),"")</f>
        <v/>
      </c>
      <c r="Q80" s="313" t="s">
        <v>113</v>
      </c>
      <c r="R80" s="311"/>
      <c r="S80" s="312" t="s">
        <v>178</v>
      </c>
      <c r="T80" s="311"/>
      <c r="U80" s="312" t="s">
        <v>179</v>
      </c>
      <c r="V80" s="311"/>
      <c r="W80" s="312" t="s">
        <v>178</v>
      </c>
      <c r="X80" s="311"/>
      <c r="Y80" s="312" t="s">
        <v>115</v>
      </c>
      <c r="Z80" s="312" t="s">
        <v>181</v>
      </c>
      <c r="AA80" s="312" t="str">
        <f t="shared" ref="AA80:AA113" si="64">IF(R80&gt;=1,(V80*12+X80)-(R80*12+T80)+1,"")</f>
        <v/>
      </c>
      <c r="AB80" s="308" t="s">
        <v>182</v>
      </c>
      <c r="AC80" s="309" t="str">
        <f t="shared" si="48"/>
        <v/>
      </c>
      <c r="AD80" s="510" t="str">
        <f t="shared" si="49"/>
        <v/>
      </c>
      <c r="AE80" s="310" t="str">
        <f>IFERROR(ROUNDDOWN(ROUNDDOWN(ROUND(L80*VLOOKUP(K80,【参考】数式用!$A$2:$M$57,MATCH("処遇改善加算Ⅳ",【参考】数式用!$G$3:$M$3,0)+6,0),0),0)*AA80*0.5,0), "")</f>
        <v/>
      </c>
      <c r="AF80" s="321"/>
      <c r="AG80" s="322"/>
      <c r="AH80" s="322"/>
      <c r="AI80" s="321"/>
      <c r="AJ80" s="323"/>
      <c r="AK80" s="329"/>
      <c r="AL80" s="327" t="str">
        <f t="shared" si="38"/>
        <v/>
      </c>
      <c r="AM80" s="328" t="str">
        <f t="shared" si="50"/>
        <v/>
      </c>
      <c r="AN80" s="258"/>
      <c r="AO80" s="551" t="str">
        <f>IFERROR(VLOOKUP(K80,【参考】数式用!$A$2:$N$57,14,FALSE),"")</f>
        <v/>
      </c>
      <c r="AP80" s="551" t="str">
        <f t="shared" si="51"/>
        <v/>
      </c>
      <c r="AQ80" s="556" t="str">
        <f t="shared" si="39"/>
        <v/>
      </c>
      <c r="AR80" s="556" t="str">
        <f t="shared" si="63"/>
        <v>キャリアパス要件Ⅰ・Ⅱ_</v>
      </c>
      <c r="AS80" s="534" t="str">
        <f t="shared" si="40"/>
        <v>入力済</v>
      </c>
      <c r="AT80" s="551" t="str">
        <f t="shared" si="52"/>
        <v/>
      </c>
      <c r="AU80" s="534" t="str">
        <f t="shared" si="41"/>
        <v>入力済</v>
      </c>
      <c r="AV80" s="534" t="str">
        <f t="shared" si="42"/>
        <v/>
      </c>
      <c r="AW80" s="534" t="str">
        <f t="shared" si="53"/>
        <v/>
      </c>
      <c r="AX80" s="551" t="str">
        <f t="shared" si="43"/>
        <v/>
      </c>
      <c r="AY80" s="534" t="str">
        <f>IFERROR(VLOOKUP(K80,【参考】数式用!$AR$3:$AS$49, 2, FALSE), "")</f>
        <v/>
      </c>
      <c r="AZ80" s="551" t="str">
        <f t="shared" si="54"/>
        <v/>
      </c>
      <c r="BA80" s="555" t="str">
        <f t="shared" si="44"/>
        <v>入力済</v>
      </c>
      <c r="BB80" s="534" t="str">
        <f>IFERROR(VLOOKUP(K80,【参考】数式用!$AX$3:$AY$59, 2, FALSE), "")</f>
        <v/>
      </c>
      <c r="BC80" s="551" t="str">
        <f t="shared" si="55"/>
        <v/>
      </c>
      <c r="BD80" s="555" t="str">
        <f t="shared" si="45"/>
        <v>入力済</v>
      </c>
      <c r="BE80" s="555" t="str">
        <f t="shared" si="56"/>
        <v/>
      </c>
      <c r="BF80" s="555" t="str">
        <f t="shared" si="57"/>
        <v/>
      </c>
      <c r="BG80" s="555" t="str">
        <f t="shared" si="58"/>
        <v/>
      </c>
      <c r="BH80" s="555" t="str">
        <f t="shared" si="46"/>
        <v/>
      </c>
      <c r="BI80" s="555" t="str">
        <f t="shared" si="47"/>
        <v/>
      </c>
      <c r="BL80" t="str">
        <f t="shared" si="59"/>
        <v/>
      </c>
      <c r="BM80" t="str">
        <f t="shared" si="60"/>
        <v/>
      </c>
      <c r="BN80" t="str">
        <f t="shared" si="61"/>
        <v/>
      </c>
      <c r="BO80" s="562" t="str">
        <f>IF(BN80="対象",ROUNDDOWN(L80*VLOOKUP(K80,【参考】数式用!$A$4:$J$42,10,FALSE)*AA80,0),"")</f>
        <v/>
      </c>
      <c r="BP80" t="str">
        <f t="shared" si="62"/>
        <v/>
      </c>
    </row>
    <row r="81" spans="1:68" ht="109.95" customHeight="1" thickBot="1">
      <c r="A81" s="306">
        <v>68</v>
      </c>
      <c r="B81" s="646" t="str">
        <f>IF(基本情報入力シート!B103="","",基本情報入力シート!B103)</f>
        <v/>
      </c>
      <c r="C81" s="647"/>
      <c r="D81" s="647"/>
      <c r="E81" s="647"/>
      <c r="F81" s="648"/>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53" t="str">
        <f>IF(基本情報入力シート!AF103=0, "",基本情報入力シート!AF103)</f>
        <v/>
      </c>
      <c r="M81" s="519" t="str">
        <f>IF('別紙様式2-2（個票（４、５月））'!M81="","",'別紙様式2-2（個票（４、５月））'!M81)</f>
        <v/>
      </c>
      <c r="N81" s="518" t="str">
        <f>IF('別紙様式2-2（個票（４、５月））'!N81="","",'別紙様式2-2（個票（４、５月））'!N81)</f>
        <v/>
      </c>
      <c r="O81" s="289"/>
      <c r="P81" s="549" t="str">
        <f>IFERROR(VLOOKUP(K81,【参考】数式用!$A$2:$M$57,MATCH(O81,【参考】数式用!$G$3:$M$3,0)+6,0),"")</f>
        <v/>
      </c>
      <c r="Q81" s="313" t="s">
        <v>113</v>
      </c>
      <c r="R81" s="311"/>
      <c r="S81" s="312" t="s">
        <v>178</v>
      </c>
      <c r="T81" s="311"/>
      <c r="U81" s="312" t="s">
        <v>179</v>
      </c>
      <c r="V81" s="311"/>
      <c r="W81" s="312" t="s">
        <v>178</v>
      </c>
      <c r="X81" s="311"/>
      <c r="Y81" s="312" t="s">
        <v>115</v>
      </c>
      <c r="Z81" s="312" t="s">
        <v>181</v>
      </c>
      <c r="AA81" s="312" t="str">
        <f t="shared" si="64"/>
        <v/>
      </c>
      <c r="AB81" s="308" t="s">
        <v>182</v>
      </c>
      <c r="AC81" s="309" t="str">
        <f t="shared" si="48"/>
        <v/>
      </c>
      <c r="AD81" s="510" t="str">
        <f t="shared" si="49"/>
        <v/>
      </c>
      <c r="AE81" s="310" t="str">
        <f>IFERROR(ROUNDDOWN(ROUNDDOWN(ROUND(L81*VLOOKUP(K81,【参考】数式用!$A$2:$M$57,MATCH("処遇改善加算Ⅳ",【参考】数式用!$G$3:$M$3,0)+6,0),0),0)*AA81*0.5,0), "")</f>
        <v/>
      </c>
      <c r="AF81" s="321"/>
      <c r="AG81" s="322"/>
      <c r="AH81" s="322"/>
      <c r="AI81" s="321"/>
      <c r="AJ81" s="323"/>
      <c r="AK81" s="329"/>
      <c r="AL81" s="327" t="str">
        <f t="shared" si="38"/>
        <v/>
      </c>
      <c r="AM81" s="328" t="str">
        <f t="shared" si="50"/>
        <v/>
      </c>
      <c r="AN81" s="258"/>
      <c r="AO81" s="551" t="str">
        <f>IFERROR(VLOOKUP(K81,【参考】数式用!$A$2:$N$57,14,FALSE),"")</f>
        <v/>
      </c>
      <c r="AP81" s="551" t="str">
        <f t="shared" si="51"/>
        <v/>
      </c>
      <c r="AQ81" s="556" t="str">
        <f t="shared" si="39"/>
        <v/>
      </c>
      <c r="AR81" s="556" t="str">
        <f t="shared" si="63"/>
        <v>キャリアパス要件Ⅰ・Ⅱ_</v>
      </c>
      <c r="AS81" s="534" t="str">
        <f t="shared" si="40"/>
        <v>入力済</v>
      </c>
      <c r="AT81" s="551" t="str">
        <f t="shared" si="52"/>
        <v/>
      </c>
      <c r="AU81" s="534" t="str">
        <f t="shared" si="41"/>
        <v>入力済</v>
      </c>
      <c r="AV81" s="534" t="str">
        <f t="shared" si="42"/>
        <v/>
      </c>
      <c r="AW81" s="534" t="str">
        <f t="shared" si="53"/>
        <v/>
      </c>
      <c r="AX81" s="551" t="str">
        <f t="shared" si="43"/>
        <v/>
      </c>
      <c r="AY81" s="534" t="str">
        <f>IFERROR(VLOOKUP(K81,【参考】数式用!$AR$3:$AS$49, 2, FALSE), "")</f>
        <v/>
      </c>
      <c r="AZ81" s="551" t="str">
        <f t="shared" si="54"/>
        <v/>
      </c>
      <c r="BA81" s="555" t="str">
        <f t="shared" si="44"/>
        <v>入力済</v>
      </c>
      <c r="BB81" s="534" t="str">
        <f>IFERROR(VLOOKUP(K81,【参考】数式用!$AX$3:$AY$59, 2, FALSE), "")</f>
        <v/>
      </c>
      <c r="BC81" s="551" t="str">
        <f t="shared" si="55"/>
        <v/>
      </c>
      <c r="BD81" s="555" t="str">
        <f t="shared" si="45"/>
        <v>入力済</v>
      </c>
      <c r="BE81" s="555" t="str">
        <f t="shared" si="56"/>
        <v/>
      </c>
      <c r="BF81" s="555" t="str">
        <f t="shared" si="57"/>
        <v/>
      </c>
      <c r="BG81" s="555" t="str">
        <f t="shared" si="58"/>
        <v/>
      </c>
      <c r="BH81" s="555" t="str">
        <f t="shared" si="46"/>
        <v/>
      </c>
      <c r="BI81" s="555" t="str">
        <f t="shared" si="47"/>
        <v/>
      </c>
      <c r="BL81" t="str">
        <f t="shared" si="59"/>
        <v/>
      </c>
      <c r="BM81" t="str">
        <f t="shared" si="60"/>
        <v/>
      </c>
      <c r="BN81" t="str">
        <f t="shared" si="61"/>
        <v/>
      </c>
      <c r="BO81" s="562" t="str">
        <f>IF(BN81="対象",ROUNDDOWN(L81*VLOOKUP(K81,【参考】数式用!$A$4:$J$42,10,FALSE)*AA81,0),"")</f>
        <v/>
      </c>
      <c r="BP81" t="str">
        <f t="shared" si="62"/>
        <v/>
      </c>
    </row>
    <row r="82" spans="1:68" ht="109.95" customHeight="1" thickBot="1">
      <c r="A82" s="306">
        <v>69</v>
      </c>
      <c r="B82" s="646" t="str">
        <f>IF(基本情報入力シート!B104="","",基本情報入力シート!B104)</f>
        <v/>
      </c>
      <c r="C82" s="647"/>
      <c r="D82" s="647"/>
      <c r="E82" s="647"/>
      <c r="F82" s="648"/>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53" t="str">
        <f>IF(基本情報入力シート!AF104=0, "",基本情報入力シート!AF104)</f>
        <v/>
      </c>
      <c r="M82" s="519" t="str">
        <f>IF('別紙様式2-2（個票（４、５月））'!M82="","",'別紙様式2-2（個票（４、５月））'!M82)</f>
        <v/>
      </c>
      <c r="N82" s="518" t="str">
        <f>IF('別紙様式2-2（個票（４、５月））'!N82="","",'別紙様式2-2（個票（４、５月））'!N82)</f>
        <v/>
      </c>
      <c r="O82" s="289"/>
      <c r="P82" s="549" t="str">
        <f>IFERROR(VLOOKUP(K82,【参考】数式用!$A$2:$M$57,MATCH(O82,【参考】数式用!$G$3:$M$3,0)+6,0),"")</f>
        <v/>
      </c>
      <c r="Q82" s="313" t="s">
        <v>113</v>
      </c>
      <c r="R82" s="311"/>
      <c r="S82" s="312" t="s">
        <v>178</v>
      </c>
      <c r="T82" s="311"/>
      <c r="U82" s="312" t="s">
        <v>179</v>
      </c>
      <c r="V82" s="311"/>
      <c r="W82" s="312" t="s">
        <v>178</v>
      </c>
      <c r="X82" s="311"/>
      <c r="Y82" s="312" t="s">
        <v>180</v>
      </c>
      <c r="Z82" s="312" t="s">
        <v>181</v>
      </c>
      <c r="AA82" s="312" t="str">
        <f t="shared" si="64"/>
        <v/>
      </c>
      <c r="AB82" s="308" t="s">
        <v>182</v>
      </c>
      <c r="AC82" s="309" t="str">
        <f t="shared" si="48"/>
        <v/>
      </c>
      <c r="AD82" s="510" t="str">
        <f t="shared" si="49"/>
        <v/>
      </c>
      <c r="AE82" s="310" t="str">
        <f>IFERROR(ROUNDDOWN(ROUNDDOWN(ROUND(L82*VLOOKUP(K82,【参考】数式用!$A$2:$M$57,MATCH("処遇改善加算Ⅳ",【参考】数式用!$G$3:$M$3,0)+6,0),0),0)*AA82*0.5,0), "")</f>
        <v/>
      </c>
      <c r="AF82" s="321"/>
      <c r="AG82" s="322"/>
      <c r="AH82" s="322"/>
      <c r="AI82" s="321"/>
      <c r="AJ82" s="323"/>
      <c r="AK82" s="329"/>
      <c r="AL82" s="327" t="str">
        <f t="shared" si="38"/>
        <v/>
      </c>
      <c r="AM82" s="328" t="str">
        <f t="shared" si="50"/>
        <v/>
      </c>
      <c r="AN82" s="258"/>
      <c r="AO82" s="551" t="str">
        <f>IFERROR(VLOOKUP(K82,【参考】数式用!$A$2:$N$57,14,FALSE),"")</f>
        <v/>
      </c>
      <c r="AP82" s="551" t="str">
        <f t="shared" si="51"/>
        <v/>
      </c>
      <c r="AQ82" s="556" t="str">
        <f t="shared" si="39"/>
        <v/>
      </c>
      <c r="AR82" s="556" t="str">
        <f t="shared" si="63"/>
        <v>キャリアパス要件Ⅰ・Ⅱ_</v>
      </c>
      <c r="AS82" s="534" t="str">
        <f t="shared" si="40"/>
        <v>入力済</v>
      </c>
      <c r="AT82" s="551" t="str">
        <f t="shared" si="52"/>
        <v/>
      </c>
      <c r="AU82" s="534" t="str">
        <f t="shared" si="41"/>
        <v>入力済</v>
      </c>
      <c r="AV82" s="534" t="str">
        <f t="shared" si="42"/>
        <v/>
      </c>
      <c r="AW82" s="534" t="str">
        <f t="shared" si="53"/>
        <v/>
      </c>
      <c r="AX82" s="551" t="str">
        <f t="shared" si="43"/>
        <v/>
      </c>
      <c r="AY82" s="534" t="str">
        <f>IFERROR(VLOOKUP(K82,【参考】数式用!$AR$3:$AS$49, 2, FALSE), "")</f>
        <v/>
      </c>
      <c r="AZ82" s="551" t="str">
        <f t="shared" si="54"/>
        <v/>
      </c>
      <c r="BA82" s="555" t="str">
        <f t="shared" si="44"/>
        <v>入力済</v>
      </c>
      <c r="BB82" s="534" t="str">
        <f>IFERROR(VLOOKUP(K82,【参考】数式用!$AX$3:$AY$59, 2, FALSE), "")</f>
        <v/>
      </c>
      <c r="BC82" s="551" t="str">
        <f t="shared" si="55"/>
        <v/>
      </c>
      <c r="BD82" s="555" t="str">
        <f t="shared" si="45"/>
        <v>入力済</v>
      </c>
      <c r="BE82" s="555" t="str">
        <f t="shared" si="56"/>
        <v/>
      </c>
      <c r="BF82" s="555" t="str">
        <f t="shared" si="57"/>
        <v/>
      </c>
      <c r="BG82" s="555" t="str">
        <f t="shared" si="58"/>
        <v/>
      </c>
      <c r="BH82" s="555" t="str">
        <f t="shared" si="46"/>
        <v/>
      </c>
      <c r="BI82" s="555" t="str">
        <f t="shared" si="47"/>
        <v/>
      </c>
      <c r="BL82" t="str">
        <f t="shared" si="59"/>
        <v/>
      </c>
      <c r="BM82" t="str">
        <f t="shared" si="60"/>
        <v/>
      </c>
      <c r="BN82" t="str">
        <f t="shared" si="61"/>
        <v/>
      </c>
      <c r="BO82" s="562" t="str">
        <f>IF(BN82="対象",ROUNDDOWN(L82*VLOOKUP(K82,【参考】数式用!$A$4:$J$42,10,FALSE)*AA82,0),"")</f>
        <v/>
      </c>
      <c r="BP82" t="str">
        <f t="shared" si="62"/>
        <v/>
      </c>
    </row>
    <row r="83" spans="1:68" ht="109.95" customHeight="1" thickBot="1">
      <c r="A83" s="306">
        <v>70</v>
      </c>
      <c r="B83" s="646" t="str">
        <f>IF(基本情報入力シート!B105="","",基本情報入力シート!B105)</f>
        <v/>
      </c>
      <c r="C83" s="647"/>
      <c r="D83" s="647"/>
      <c r="E83" s="647"/>
      <c r="F83" s="648"/>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53" t="str">
        <f>IF(基本情報入力シート!AF105=0, "",基本情報入力シート!AF105)</f>
        <v/>
      </c>
      <c r="M83" s="519" t="str">
        <f>IF('別紙様式2-2（個票（４、５月））'!M83="","",'別紙様式2-2（個票（４、５月））'!M83)</f>
        <v/>
      </c>
      <c r="N83" s="518" t="str">
        <f>IF('別紙様式2-2（個票（４、５月））'!N83="","",'別紙様式2-2（個票（４、５月））'!N83)</f>
        <v/>
      </c>
      <c r="O83" s="289"/>
      <c r="P83" s="549" t="str">
        <f>IFERROR(VLOOKUP(K83,【参考】数式用!$A$2:$M$57,MATCH(O83,【参考】数式用!$G$3:$M$3,0)+6,0),"")</f>
        <v/>
      </c>
      <c r="Q83" s="313" t="s">
        <v>113</v>
      </c>
      <c r="R83" s="311"/>
      <c r="S83" s="312" t="s">
        <v>178</v>
      </c>
      <c r="T83" s="311"/>
      <c r="U83" s="312" t="s">
        <v>179</v>
      </c>
      <c r="V83" s="311"/>
      <c r="W83" s="312" t="s">
        <v>178</v>
      </c>
      <c r="X83" s="311"/>
      <c r="Y83" s="312" t="s">
        <v>180</v>
      </c>
      <c r="Z83" s="312" t="s">
        <v>181</v>
      </c>
      <c r="AA83" s="312" t="str">
        <f t="shared" si="64"/>
        <v/>
      </c>
      <c r="AB83" s="308" t="s">
        <v>182</v>
      </c>
      <c r="AC83" s="309" t="str">
        <f t="shared" si="48"/>
        <v/>
      </c>
      <c r="AD83" s="510" t="str">
        <f t="shared" si="49"/>
        <v/>
      </c>
      <c r="AE83" s="310" t="str">
        <f>IFERROR(ROUNDDOWN(ROUNDDOWN(ROUND(L83*VLOOKUP(K83,【参考】数式用!$A$2:$M$57,MATCH("処遇改善加算Ⅳ",【参考】数式用!$G$3:$M$3,0)+6,0),0),0)*AA83*0.5,0), "")</f>
        <v/>
      </c>
      <c r="AF83" s="321"/>
      <c r="AG83" s="322"/>
      <c r="AH83" s="322"/>
      <c r="AI83" s="321"/>
      <c r="AJ83" s="323"/>
      <c r="AK83" s="329"/>
      <c r="AL83" s="327" t="str">
        <f t="shared" si="38"/>
        <v/>
      </c>
      <c r="AM83" s="328" t="str">
        <f t="shared" si="50"/>
        <v/>
      </c>
      <c r="AN83" s="258"/>
      <c r="AO83" s="551" t="str">
        <f>IFERROR(VLOOKUP(K83,【参考】数式用!$A$2:$N$57,14,FALSE),"")</f>
        <v/>
      </c>
      <c r="AP83" s="551" t="str">
        <f t="shared" si="51"/>
        <v/>
      </c>
      <c r="AQ83" s="556" t="str">
        <f t="shared" si="39"/>
        <v/>
      </c>
      <c r="AR83" s="556" t="str">
        <f t="shared" si="63"/>
        <v>キャリアパス要件Ⅰ・Ⅱ_</v>
      </c>
      <c r="AS83" s="534" t="str">
        <f t="shared" si="40"/>
        <v>入力済</v>
      </c>
      <c r="AT83" s="551" t="str">
        <f t="shared" si="52"/>
        <v/>
      </c>
      <c r="AU83" s="534" t="str">
        <f t="shared" si="41"/>
        <v>入力済</v>
      </c>
      <c r="AV83" s="534" t="str">
        <f t="shared" si="42"/>
        <v/>
      </c>
      <c r="AW83" s="534" t="str">
        <f t="shared" si="53"/>
        <v/>
      </c>
      <c r="AX83" s="551" t="str">
        <f t="shared" si="43"/>
        <v/>
      </c>
      <c r="AY83" s="534" t="str">
        <f>IFERROR(VLOOKUP(K83,【参考】数式用!$AR$3:$AS$49, 2, FALSE), "")</f>
        <v/>
      </c>
      <c r="AZ83" s="551" t="str">
        <f t="shared" si="54"/>
        <v/>
      </c>
      <c r="BA83" s="555" t="str">
        <f t="shared" si="44"/>
        <v>入力済</v>
      </c>
      <c r="BB83" s="534" t="str">
        <f>IFERROR(VLOOKUP(K83,【参考】数式用!$AX$3:$AY$59, 2, FALSE), "")</f>
        <v/>
      </c>
      <c r="BC83" s="551" t="str">
        <f t="shared" si="55"/>
        <v/>
      </c>
      <c r="BD83" s="555" t="str">
        <f t="shared" si="45"/>
        <v>入力済</v>
      </c>
      <c r="BE83" s="555" t="str">
        <f t="shared" si="56"/>
        <v/>
      </c>
      <c r="BF83" s="555" t="str">
        <f t="shared" si="57"/>
        <v/>
      </c>
      <c r="BG83" s="555" t="str">
        <f t="shared" si="58"/>
        <v/>
      </c>
      <c r="BH83" s="555" t="str">
        <f t="shared" si="46"/>
        <v/>
      </c>
      <c r="BI83" s="555" t="str">
        <f t="shared" si="47"/>
        <v/>
      </c>
      <c r="BL83" t="str">
        <f t="shared" si="59"/>
        <v/>
      </c>
      <c r="BM83" t="str">
        <f t="shared" si="60"/>
        <v/>
      </c>
      <c r="BN83" t="str">
        <f t="shared" si="61"/>
        <v/>
      </c>
      <c r="BO83" s="562" t="str">
        <f>IF(BN83="対象",ROUNDDOWN(L83*VLOOKUP(K83,【参考】数式用!$A$4:$J$42,10,FALSE)*AA83,0),"")</f>
        <v/>
      </c>
      <c r="BP83" t="str">
        <f t="shared" si="62"/>
        <v/>
      </c>
    </row>
    <row r="84" spans="1:68" ht="109.95" customHeight="1" thickBot="1">
      <c r="A84" s="306">
        <v>71</v>
      </c>
      <c r="B84" s="646" t="str">
        <f>IF(基本情報入力シート!B106="","",基本情報入力シート!B106)</f>
        <v/>
      </c>
      <c r="C84" s="647"/>
      <c r="D84" s="647"/>
      <c r="E84" s="647"/>
      <c r="F84" s="648"/>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53" t="str">
        <f>IF(基本情報入力シート!AF106=0, "",基本情報入力シート!AF106)</f>
        <v/>
      </c>
      <c r="M84" s="519" t="str">
        <f>IF('別紙様式2-2（個票（４、５月））'!M84="","",'別紙様式2-2（個票（４、５月））'!M84)</f>
        <v/>
      </c>
      <c r="N84" s="518" t="str">
        <f>IF('別紙様式2-2（個票（４、５月））'!N84="","",'別紙様式2-2（個票（４、５月））'!N84)</f>
        <v/>
      </c>
      <c r="O84" s="289"/>
      <c r="P84" s="549" t="str">
        <f>IFERROR(VLOOKUP(K84,【参考】数式用!$A$2:$M$57,MATCH(O84,【参考】数式用!$G$3:$M$3,0)+6,0),"")</f>
        <v/>
      </c>
      <c r="Q84" s="313" t="s">
        <v>113</v>
      </c>
      <c r="R84" s="311"/>
      <c r="S84" s="312" t="s">
        <v>178</v>
      </c>
      <c r="T84" s="311"/>
      <c r="U84" s="312" t="s">
        <v>179</v>
      </c>
      <c r="V84" s="311"/>
      <c r="W84" s="312" t="s">
        <v>178</v>
      </c>
      <c r="X84" s="311"/>
      <c r="Y84" s="312" t="s">
        <v>180</v>
      </c>
      <c r="Z84" s="312" t="s">
        <v>181</v>
      </c>
      <c r="AA84" s="312" t="str">
        <f t="shared" si="64"/>
        <v/>
      </c>
      <c r="AB84" s="308" t="s">
        <v>182</v>
      </c>
      <c r="AC84" s="309" t="str">
        <f t="shared" si="48"/>
        <v/>
      </c>
      <c r="AD84" s="510" t="str">
        <f t="shared" si="49"/>
        <v/>
      </c>
      <c r="AE84" s="310" t="str">
        <f>IFERROR(ROUNDDOWN(ROUNDDOWN(ROUND(L84*VLOOKUP(K84,【参考】数式用!$A$2:$M$57,MATCH("処遇改善加算Ⅳ",【参考】数式用!$G$3:$M$3,0)+6,0),0),0)*AA84*0.5,0), "")</f>
        <v/>
      </c>
      <c r="AF84" s="321"/>
      <c r="AG84" s="322"/>
      <c r="AH84" s="322"/>
      <c r="AI84" s="321"/>
      <c r="AJ84" s="323"/>
      <c r="AK84" s="329"/>
      <c r="AL84" s="327" t="str">
        <f t="shared" si="38"/>
        <v/>
      </c>
      <c r="AM84" s="328" t="str">
        <f t="shared" si="50"/>
        <v/>
      </c>
      <c r="AN84" s="258"/>
      <c r="AO84" s="551" t="str">
        <f>IFERROR(VLOOKUP(K84,【参考】数式用!$A$2:$N$57,14,FALSE),"")</f>
        <v/>
      </c>
      <c r="AP84" s="551" t="str">
        <f t="shared" si="51"/>
        <v/>
      </c>
      <c r="AQ84" s="556" t="str">
        <f t="shared" si="39"/>
        <v/>
      </c>
      <c r="AR84" s="556" t="str">
        <f t="shared" si="63"/>
        <v>キャリアパス要件Ⅰ・Ⅱ_</v>
      </c>
      <c r="AS84" s="534" t="str">
        <f t="shared" si="40"/>
        <v>入力済</v>
      </c>
      <c r="AT84" s="551" t="str">
        <f t="shared" si="52"/>
        <v/>
      </c>
      <c r="AU84" s="534" t="str">
        <f t="shared" si="41"/>
        <v>入力済</v>
      </c>
      <c r="AV84" s="534" t="str">
        <f t="shared" si="42"/>
        <v/>
      </c>
      <c r="AW84" s="534" t="str">
        <f t="shared" si="53"/>
        <v/>
      </c>
      <c r="AX84" s="551" t="str">
        <f t="shared" si="43"/>
        <v/>
      </c>
      <c r="AY84" s="534" t="str">
        <f>IFERROR(VLOOKUP(K84,【参考】数式用!$AR$3:$AS$49, 2, FALSE), "")</f>
        <v/>
      </c>
      <c r="AZ84" s="551" t="str">
        <f t="shared" si="54"/>
        <v/>
      </c>
      <c r="BA84" s="555" t="str">
        <f t="shared" si="44"/>
        <v>入力済</v>
      </c>
      <c r="BB84" s="534" t="str">
        <f>IFERROR(VLOOKUP(K84,【参考】数式用!$AX$3:$AY$59, 2, FALSE), "")</f>
        <v/>
      </c>
      <c r="BC84" s="551" t="str">
        <f t="shared" si="55"/>
        <v/>
      </c>
      <c r="BD84" s="555" t="str">
        <f t="shared" si="45"/>
        <v>入力済</v>
      </c>
      <c r="BE84" s="555" t="str">
        <f t="shared" si="56"/>
        <v/>
      </c>
      <c r="BF84" s="555" t="str">
        <f t="shared" si="57"/>
        <v/>
      </c>
      <c r="BG84" s="555" t="str">
        <f t="shared" si="58"/>
        <v/>
      </c>
      <c r="BH84" s="555" t="str">
        <f t="shared" si="46"/>
        <v/>
      </c>
      <c r="BI84" s="555" t="str">
        <f t="shared" si="47"/>
        <v/>
      </c>
      <c r="BL84" t="str">
        <f t="shared" si="59"/>
        <v/>
      </c>
      <c r="BM84" t="str">
        <f t="shared" si="60"/>
        <v/>
      </c>
      <c r="BN84" t="str">
        <f t="shared" si="61"/>
        <v/>
      </c>
      <c r="BO84" s="562" t="str">
        <f>IF(BN84="対象",ROUNDDOWN(L84*VLOOKUP(K84,【参考】数式用!$A$4:$J$42,10,FALSE)*AA84,0),"")</f>
        <v/>
      </c>
      <c r="BP84" t="str">
        <f t="shared" si="62"/>
        <v/>
      </c>
    </row>
    <row r="85" spans="1:68" ht="109.95" customHeight="1" thickBot="1">
      <c r="A85" s="306">
        <v>72</v>
      </c>
      <c r="B85" s="646" t="str">
        <f>IF(基本情報入力シート!B107="","",基本情報入力シート!B107)</f>
        <v/>
      </c>
      <c r="C85" s="647"/>
      <c r="D85" s="647"/>
      <c r="E85" s="647"/>
      <c r="F85" s="648"/>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53" t="str">
        <f>IF(基本情報入力シート!AF107=0, "",基本情報入力シート!AF107)</f>
        <v/>
      </c>
      <c r="M85" s="519" t="str">
        <f>IF('別紙様式2-2（個票（４、５月））'!M85="","",'別紙様式2-2（個票（４、５月））'!M85)</f>
        <v/>
      </c>
      <c r="N85" s="518" t="str">
        <f>IF('別紙様式2-2（個票（４、５月））'!N85="","",'別紙様式2-2（個票（４、５月））'!N85)</f>
        <v/>
      </c>
      <c r="O85" s="289"/>
      <c r="P85" s="549" t="str">
        <f>IFERROR(VLOOKUP(K85,【参考】数式用!$A$2:$M$57,MATCH(O85,【参考】数式用!$G$3:$M$3,0)+6,0),"")</f>
        <v/>
      </c>
      <c r="Q85" s="313" t="s">
        <v>113</v>
      </c>
      <c r="R85" s="311"/>
      <c r="S85" s="312" t="s">
        <v>178</v>
      </c>
      <c r="T85" s="311"/>
      <c r="U85" s="312" t="s">
        <v>179</v>
      </c>
      <c r="V85" s="311"/>
      <c r="W85" s="312" t="s">
        <v>178</v>
      </c>
      <c r="X85" s="311"/>
      <c r="Y85" s="312" t="s">
        <v>115</v>
      </c>
      <c r="Z85" s="312" t="s">
        <v>181</v>
      </c>
      <c r="AA85" s="312" t="str">
        <f t="shared" si="64"/>
        <v/>
      </c>
      <c r="AB85" s="308" t="s">
        <v>182</v>
      </c>
      <c r="AC85" s="309" t="str">
        <f t="shared" si="48"/>
        <v/>
      </c>
      <c r="AD85" s="510" t="str">
        <f t="shared" si="49"/>
        <v/>
      </c>
      <c r="AE85" s="310" t="str">
        <f>IFERROR(ROUNDDOWN(ROUNDDOWN(ROUND(L85*VLOOKUP(K85,【参考】数式用!$A$2:$M$57,MATCH("処遇改善加算Ⅳ",【参考】数式用!$G$3:$M$3,0)+6,0),0),0)*AA85*0.5,0), "")</f>
        <v/>
      </c>
      <c r="AF85" s="321"/>
      <c r="AG85" s="322"/>
      <c r="AH85" s="322"/>
      <c r="AI85" s="321"/>
      <c r="AJ85" s="323"/>
      <c r="AK85" s="329"/>
      <c r="AL85" s="327" t="str">
        <f t="shared" si="38"/>
        <v/>
      </c>
      <c r="AM85" s="328" t="str">
        <f t="shared" si="50"/>
        <v/>
      </c>
      <c r="AN85" s="258"/>
      <c r="AO85" s="551" t="str">
        <f>IFERROR(VLOOKUP(K85,【参考】数式用!$A$2:$N$57,14,FALSE),"")</f>
        <v/>
      </c>
      <c r="AP85" s="551" t="str">
        <f t="shared" si="51"/>
        <v/>
      </c>
      <c r="AQ85" s="556" t="str">
        <f t="shared" si="39"/>
        <v/>
      </c>
      <c r="AR85" s="556" t="str">
        <f t="shared" si="63"/>
        <v>キャリアパス要件Ⅰ・Ⅱ_</v>
      </c>
      <c r="AS85" s="534" t="str">
        <f t="shared" si="40"/>
        <v>入力済</v>
      </c>
      <c r="AT85" s="551" t="str">
        <f t="shared" si="52"/>
        <v/>
      </c>
      <c r="AU85" s="534" t="str">
        <f t="shared" si="41"/>
        <v>入力済</v>
      </c>
      <c r="AV85" s="534" t="str">
        <f t="shared" si="42"/>
        <v/>
      </c>
      <c r="AW85" s="534" t="str">
        <f t="shared" si="53"/>
        <v/>
      </c>
      <c r="AX85" s="551" t="str">
        <f t="shared" si="43"/>
        <v/>
      </c>
      <c r="AY85" s="534" t="str">
        <f>IFERROR(VLOOKUP(K85,【参考】数式用!$AR$3:$AS$49, 2, FALSE), "")</f>
        <v/>
      </c>
      <c r="AZ85" s="551" t="str">
        <f t="shared" si="54"/>
        <v/>
      </c>
      <c r="BA85" s="555" t="str">
        <f t="shared" si="44"/>
        <v>入力済</v>
      </c>
      <c r="BB85" s="534" t="str">
        <f>IFERROR(VLOOKUP(K85,【参考】数式用!$AX$3:$AY$59, 2, FALSE), "")</f>
        <v/>
      </c>
      <c r="BC85" s="551" t="str">
        <f t="shared" si="55"/>
        <v/>
      </c>
      <c r="BD85" s="555" t="str">
        <f t="shared" si="45"/>
        <v>入力済</v>
      </c>
      <c r="BE85" s="555" t="str">
        <f t="shared" si="56"/>
        <v/>
      </c>
      <c r="BF85" s="555" t="str">
        <f t="shared" si="57"/>
        <v/>
      </c>
      <c r="BG85" s="555" t="str">
        <f t="shared" si="58"/>
        <v/>
      </c>
      <c r="BH85" s="555" t="str">
        <f t="shared" si="46"/>
        <v/>
      </c>
      <c r="BI85" s="555" t="str">
        <f t="shared" si="47"/>
        <v/>
      </c>
      <c r="BL85" t="str">
        <f t="shared" si="59"/>
        <v/>
      </c>
      <c r="BM85" t="str">
        <f t="shared" si="60"/>
        <v/>
      </c>
      <c r="BN85" t="str">
        <f t="shared" si="61"/>
        <v/>
      </c>
      <c r="BO85" s="562" t="str">
        <f>IF(BN85="対象",ROUNDDOWN(L85*VLOOKUP(K85,【参考】数式用!$A$4:$J$42,10,FALSE)*AA85,0),"")</f>
        <v/>
      </c>
      <c r="BP85" t="str">
        <f t="shared" si="62"/>
        <v/>
      </c>
    </row>
    <row r="86" spans="1:68" ht="109.95" customHeight="1" thickBot="1">
      <c r="A86" s="306">
        <v>73</v>
      </c>
      <c r="B86" s="646" t="str">
        <f>IF(基本情報入力シート!B108="","",基本情報入力シート!B108)</f>
        <v/>
      </c>
      <c r="C86" s="647"/>
      <c r="D86" s="647"/>
      <c r="E86" s="647"/>
      <c r="F86" s="648"/>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53" t="str">
        <f>IF(基本情報入力シート!AF108=0, "",基本情報入力シート!AF108)</f>
        <v/>
      </c>
      <c r="M86" s="519" t="str">
        <f>IF('別紙様式2-2（個票（４、５月））'!M86="","",'別紙様式2-2（個票（４、５月））'!M86)</f>
        <v/>
      </c>
      <c r="N86" s="518" t="str">
        <f>IF('別紙様式2-2（個票（４、５月））'!N86="","",'別紙様式2-2（個票（４、５月））'!N86)</f>
        <v/>
      </c>
      <c r="O86" s="289"/>
      <c r="P86" s="549" t="str">
        <f>IFERROR(VLOOKUP(K86,【参考】数式用!$A$2:$M$57,MATCH(O86,【参考】数式用!$G$3:$M$3,0)+6,0),"")</f>
        <v/>
      </c>
      <c r="Q86" s="313" t="s">
        <v>113</v>
      </c>
      <c r="R86" s="311"/>
      <c r="S86" s="312" t="s">
        <v>178</v>
      </c>
      <c r="T86" s="311"/>
      <c r="U86" s="312" t="s">
        <v>179</v>
      </c>
      <c r="V86" s="311"/>
      <c r="W86" s="312" t="s">
        <v>178</v>
      </c>
      <c r="X86" s="311"/>
      <c r="Y86" s="312" t="s">
        <v>180</v>
      </c>
      <c r="Z86" s="312" t="s">
        <v>181</v>
      </c>
      <c r="AA86" s="312" t="str">
        <f t="shared" si="64"/>
        <v/>
      </c>
      <c r="AB86" s="308" t="s">
        <v>182</v>
      </c>
      <c r="AC86" s="309" t="str">
        <f t="shared" si="48"/>
        <v/>
      </c>
      <c r="AD86" s="510" t="str">
        <f t="shared" si="49"/>
        <v/>
      </c>
      <c r="AE86" s="310" t="str">
        <f>IFERROR(ROUNDDOWN(ROUNDDOWN(ROUND(L86*VLOOKUP(K86,【参考】数式用!$A$2:$M$57,MATCH("処遇改善加算Ⅳ",【参考】数式用!$G$3:$M$3,0)+6,0),0),0)*AA86*0.5,0), "")</f>
        <v/>
      </c>
      <c r="AF86" s="321"/>
      <c r="AG86" s="322"/>
      <c r="AH86" s="322"/>
      <c r="AI86" s="321"/>
      <c r="AJ86" s="323"/>
      <c r="AK86" s="329"/>
      <c r="AL86" s="327" t="str">
        <f t="shared" si="38"/>
        <v/>
      </c>
      <c r="AM86" s="328" t="str">
        <f t="shared" si="50"/>
        <v/>
      </c>
      <c r="AN86" s="258"/>
      <c r="AO86" s="551" t="str">
        <f>IFERROR(VLOOKUP(K86,【参考】数式用!$A$2:$N$57,14,FALSE),"")</f>
        <v/>
      </c>
      <c r="AP86" s="551" t="str">
        <f t="shared" si="51"/>
        <v/>
      </c>
      <c r="AQ86" s="556" t="str">
        <f t="shared" si="39"/>
        <v/>
      </c>
      <c r="AR86" s="556" t="str">
        <f t="shared" si="63"/>
        <v>キャリアパス要件Ⅰ・Ⅱ_</v>
      </c>
      <c r="AS86" s="534" t="str">
        <f t="shared" si="40"/>
        <v>入力済</v>
      </c>
      <c r="AT86" s="551" t="str">
        <f t="shared" si="52"/>
        <v/>
      </c>
      <c r="AU86" s="534" t="str">
        <f t="shared" si="41"/>
        <v>入力済</v>
      </c>
      <c r="AV86" s="534" t="str">
        <f t="shared" si="42"/>
        <v/>
      </c>
      <c r="AW86" s="534" t="str">
        <f t="shared" si="53"/>
        <v/>
      </c>
      <c r="AX86" s="551" t="str">
        <f t="shared" si="43"/>
        <v/>
      </c>
      <c r="AY86" s="534" t="str">
        <f>IFERROR(VLOOKUP(K86,【参考】数式用!$AR$3:$AS$49, 2, FALSE), "")</f>
        <v/>
      </c>
      <c r="AZ86" s="551" t="str">
        <f t="shared" si="54"/>
        <v/>
      </c>
      <c r="BA86" s="555" t="str">
        <f t="shared" si="44"/>
        <v>入力済</v>
      </c>
      <c r="BB86" s="534" t="str">
        <f>IFERROR(VLOOKUP(K86,【参考】数式用!$AX$3:$AY$59, 2, FALSE), "")</f>
        <v/>
      </c>
      <c r="BC86" s="551" t="str">
        <f t="shared" si="55"/>
        <v/>
      </c>
      <c r="BD86" s="555" t="str">
        <f t="shared" si="45"/>
        <v>入力済</v>
      </c>
      <c r="BE86" s="555" t="str">
        <f t="shared" si="56"/>
        <v/>
      </c>
      <c r="BF86" s="555" t="str">
        <f t="shared" si="57"/>
        <v/>
      </c>
      <c r="BG86" s="555" t="str">
        <f t="shared" si="58"/>
        <v/>
      </c>
      <c r="BH86" s="555" t="str">
        <f t="shared" si="46"/>
        <v/>
      </c>
      <c r="BI86" s="555" t="str">
        <f t="shared" si="47"/>
        <v/>
      </c>
      <c r="BL86" t="str">
        <f t="shared" si="59"/>
        <v/>
      </c>
      <c r="BM86" t="str">
        <f t="shared" si="60"/>
        <v/>
      </c>
      <c r="BN86" t="str">
        <f t="shared" si="61"/>
        <v/>
      </c>
      <c r="BO86" s="562" t="str">
        <f>IF(BN86="対象",ROUNDDOWN(L86*VLOOKUP(K86,【参考】数式用!$A$4:$J$42,10,FALSE)*AA86,0),"")</f>
        <v/>
      </c>
      <c r="BP86" t="str">
        <f t="shared" si="62"/>
        <v/>
      </c>
    </row>
    <row r="87" spans="1:68" ht="109.95" customHeight="1" thickBot="1">
      <c r="A87" s="306">
        <v>74</v>
      </c>
      <c r="B87" s="646" t="str">
        <f>IF(基本情報入力シート!B109="","",基本情報入力シート!B109)</f>
        <v/>
      </c>
      <c r="C87" s="647"/>
      <c r="D87" s="647"/>
      <c r="E87" s="647"/>
      <c r="F87" s="648"/>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53" t="str">
        <f>IF(基本情報入力シート!AF109=0, "",基本情報入力シート!AF109)</f>
        <v/>
      </c>
      <c r="M87" s="519" t="str">
        <f>IF('別紙様式2-2（個票（４、５月））'!M87="","",'別紙様式2-2（個票（４、５月））'!M87)</f>
        <v/>
      </c>
      <c r="N87" s="518" t="str">
        <f>IF('別紙様式2-2（個票（４、５月））'!N87="","",'別紙様式2-2（個票（４、５月））'!N87)</f>
        <v/>
      </c>
      <c r="O87" s="289"/>
      <c r="P87" s="549" t="str">
        <f>IFERROR(VLOOKUP(K87,【参考】数式用!$A$2:$M$57,MATCH(O87,【参考】数式用!$G$3:$M$3,0)+6,0),"")</f>
        <v/>
      </c>
      <c r="Q87" s="313" t="s">
        <v>113</v>
      </c>
      <c r="R87" s="311"/>
      <c r="S87" s="312" t="s">
        <v>178</v>
      </c>
      <c r="T87" s="311"/>
      <c r="U87" s="312" t="s">
        <v>179</v>
      </c>
      <c r="V87" s="311"/>
      <c r="W87" s="312" t="s">
        <v>178</v>
      </c>
      <c r="X87" s="311"/>
      <c r="Y87" s="312" t="s">
        <v>180</v>
      </c>
      <c r="Z87" s="312" t="s">
        <v>181</v>
      </c>
      <c r="AA87" s="312" t="str">
        <f t="shared" si="64"/>
        <v/>
      </c>
      <c r="AB87" s="308" t="s">
        <v>182</v>
      </c>
      <c r="AC87" s="309" t="str">
        <f t="shared" si="48"/>
        <v/>
      </c>
      <c r="AD87" s="510" t="str">
        <f t="shared" si="49"/>
        <v/>
      </c>
      <c r="AE87" s="310" t="str">
        <f>IFERROR(ROUNDDOWN(ROUNDDOWN(ROUND(L87*VLOOKUP(K87,【参考】数式用!$A$2:$M$57,MATCH("処遇改善加算Ⅳ",【参考】数式用!$G$3:$M$3,0)+6,0),0),0)*AA87*0.5,0), "")</f>
        <v/>
      </c>
      <c r="AF87" s="321"/>
      <c r="AG87" s="322"/>
      <c r="AH87" s="322"/>
      <c r="AI87" s="321"/>
      <c r="AJ87" s="323"/>
      <c r="AK87" s="329"/>
      <c r="AL87" s="327" t="str">
        <f t="shared" si="38"/>
        <v/>
      </c>
      <c r="AM87" s="328" t="str">
        <f t="shared" si="50"/>
        <v/>
      </c>
      <c r="AN87" s="258"/>
      <c r="AO87" s="551" t="str">
        <f>IFERROR(VLOOKUP(K87,【参考】数式用!$A$2:$N$57,14,FALSE),"")</f>
        <v/>
      </c>
      <c r="AP87" s="551" t="str">
        <f t="shared" si="51"/>
        <v/>
      </c>
      <c r="AQ87" s="556" t="str">
        <f t="shared" si="39"/>
        <v/>
      </c>
      <c r="AR87" s="556" t="str">
        <f t="shared" si="63"/>
        <v>キャリアパス要件Ⅰ・Ⅱ_</v>
      </c>
      <c r="AS87" s="534" t="str">
        <f t="shared" si="40"/>
        <v>入力済</v>
      </c>
      <c r="AT87" s="551" t="str">
        <f t="shared" si="52"/>
        <v/>
      </c>
      <c r="AU87" s="534" t="str">
        <f t="shared" si="41"/>
        <v>入力済</v>
      </c>
      <c r="AV87" s="534" t="str">
        <f t="shared" si="42"/>
        <v/>
      </c>
      <c r="AW87" s="534" t="str">
        <f t="shared" si="53"/>
        <v/>
      </c>
      <c r="AX87" s="551" t="str">
        <f t="shared" si="43"/>
        <v/>
      </c>
      <c r="AY87" s="534" t="str">
        <f>IFERROR(VLOOKUP(K87,【参考】数式用!$AR$3:$AS$49, 2, FALSE), "")</f>
        <v/>
      </c>
      <c r="AZ87" s="551" t="str">
        <f t="shared" si="54"/>
        <v/>
      </c>
      <c r="BA87" s="555" t="str">
        <f t="shared" si="44"/>
        <v>入力済</v>
      </c>
      <c r="BB87" s="534" t="str">
        <f>IFERROR(VLOOKUP(K87,【参考】数式用!$AX$3:$AY$59, 2, FALSE), "")</f>
        <v/>
      </c>
      <c r="BC87" s="551" t="str">
        <f t="shared" si="55"/>
        <v/>
      </c>
      <c r="BD87" s="555" t="str">
        <f t="shared" si="45"/>
        <v>入力済</v>
      </c>
      <c r="BE87" s="555" t="str">
        <f t="shared" si="56"/>
        <v/>
      </c>
      <c r="BF87" s="555" t="str">
        <f t="shared" si="57"/>
        <v/>
      </c>
      <c r="BG87" s="555" t="str">
        <f t="shared" si="58"/>
        <v/>
      </c>
      <c r="BH87" s="555" t="str">
        <f t="shared" si="46"/>
        <v/>
      </c>
      <c r="BI87" s="555" t="str">
        <f t="shared" si="47"/>
        <v/>
      </c>
      <c r="BL87" t="str">
        <f t="shared" si="59"/>
        <v/>
      </c>
      <c r="BM87" t="str">
        <f t="shared" si="60"/>
        <v/>
      </c>
      <c r="BN87" t="str">
        <f t="shared" si="61"/>
        <v/>
      </c>
      <c r="BO87" s="562" t="str">
        <f>IF(BN87="対象",ROUNDDOWN(L87*VLOOKUP(K87,【参考】数式用!$A$4:$J$42,10,FALSE)*AA87,0),"")</f>
        <v/>
      </c>
      <c r="BP87" t="str">
        <f t="shared" si="62"/>
        <v/>
      </c>
    </row>
    <row r="88" spans="1:68" ht="109.95" customHeight="1" thickBot="1">
      <c r="A88" s="306">
        <v>75</v>
      </c>
      <c r="B88" s="646" t="str">
        <f>IF(基本情報入力シート!B110="","",基本情報入力シート!B110)</f>
        <v/>
      </c>
      <c r="C88" s="647"/>
      <c r="D88" s="647"/>
      <c r="E88" s="647"/>
      <c r="F88" s="648"/>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53" t="str">
        <f>IF(基本情報入力シート!AF110=0, "",基本情報入力シート!AF110)</f>
        <v/>
      </c>
      <c r="M88" s="519" t="str">
        <f>IF('別紙様式2-2（個票（４、５月））'!M88="","",'別紙様式2-2（個票（４、５月））'!M88)</f>
        <v/>
      </c>
      <c r="N88" s="518" t="str">
        <f>IF('別紙様式2-2（個票（４、５月））'!N88="","",'別紙様式2-2（個票（４、５月））'!N88)</f>
        <v/>
      </c>
      <c r="O88" s="289"/>
      <c r="P88" s="549" t="str">
        <f>IFERROR(VLOOKUP(K88,【参考】数式用!$A$2:$M$57,MATCH(O88,【参考】数式用!$G$3:$M$3,0)+6,0),"")</f>
        <v/>
      </c>
      <c r="Q88" s="313" t="s">
        <v>113</v>
      </c>
      <c r="R88" s="311"/>
      <c r="S88" s="312" t="s">
        <v>178</v>
      </c>
      <c r="T88" s="311"/>
      <c r="U88" s="312" t="s">
        <v>179</v>
      </c>
      <c r="V88" s="311"/>
      <c r="W88" s="312" t="s">
        <v>178</v>
      </c>
      <c r="X88" s="311"/>
      <c r="Y88" s="312" t="s">
        <v>180</v>
      </c>
      <c r="Z88" s="312" t="s">
        <v>181</v>
      </c>
      <c r="AA88" s="312" t="str">
        <f t="shared" si="64"/>
        <v/>
      </c>
      <c r="AB88" s="308" t="s">
        <v>182</v>
      </c>
      <c r="AC88" s="309" t="str">
        <f t="shared" si="48"/>
        <v/>
      </c>
      <c r="AD88" s="510" t="str">
        <f t="shared" si="49"/>
        <v/>
      </c>
      <c r="AE88" s="310" t="str">
        <f>IFERROR(ROUNDDOWN(ROUNDDOWN(ROUND(L88*VLOOKUP(K88,【参考】数式用!$A$2:$M$57,MATCH("処遇改善加算Ⅳ",【参考】数式用!$G$3:$M$3,0)+6,0),0),0)*AA88*0.5,0), "")</f>
        <v/>
      </c>
      <c r="AF88" s="321"/>
      <c r="AG88" s="322"/>
      <c r="AH88" s="322"/>
      <c r="AI88" s="321"/>
      <c r="AJ88" s="323"/>
      <c r="AK88" s="329"/>
      <c r="AL88" s="327" t="str">
        <f t="shared" si="38"/>
        <v/>
      </c>
      <c r="AM88" s="328" t="str">
        <f t="shared" si="50"/>
        <v/>
      </c>
      <c r="AN88" s="258"/>
      <c r="AO88" s="551" t="str">
        <f>IFERROR(VLOOKUP(K88,【参考】数式用!$A$2:$N$57,14,FALSE),"")</f>
        <v/>
      </c>
      <c r="AP88" s="551" t="str">
        <f t="shared" si="51"/>
        <v/>
      </c>
      <c r="AQ88" s="556" t="str">
        <f t="shared" si="39"/>
        <v/>
      </c>
      <c r="AR88" s="556" t="str">
        <f t="shared" si="63"/>
        <v>キャリアパス要件Ⅰ・Ⅱ_</v>
      </c>
      <c r="AS88" s="534" t="str">
        <f t="shared" si="40"/>
        <v>入力済</v>
      </c>
      <c r="AT88" s="551" t="str">
        <f t="shared" si="52"/>
        <v/>
      </c>
      <c r="AU88" s="534" t="str">
        <f t="shared" si="41"/>
        <v>入力済</v>
      </c>
      <c r="AV88" s="534" t="str">
        <f t="shared" si="42"/>
        <v/>
      </c>
      <c r="AW88" s="534" t="str">
        <f t="shared" si="53"/>
        <v/>
      </c>
      <c r="AX88" s="551" t="str">
        <f t="shared" si="43"/>
        <v/>
      </c>
      <c r="AY88" s="534" t="str">
        <f>IFERROR(VLOOKUP(K88,【参考】数式用!$AR$3:$AS$49, 2, FALSE), "")</f>
        <v/>
      </c>
      <c r="AZ88" s="551" t="str">
        <f t="shared" si="54"/>
        <v/>
      </c>
      <c r="BA88" s="555" t="str">
        <f t="shared" si="44"/>
        <v>入力済</v>
      </c>
      <c r="BB88" s="534" t="str">
        <f>IFERROR(VLOOKUP(K88,【参考】数式用!$AX$3:$AY$59, 2, FALSE), "")</f>
        <v/>
      </c>
      <c r="BC88" s="551" t="str">
        <f t="shared" si="55"/>
        <v/>
      </c>
      <c r="BD88" s="555" t="str">
        <f t="shared" si="45"/>
        <v>入力済</v>
      </c>
      <c r="BE88" s="555" t="str">
        <f t="shared" si="56"/>
        <v/>
      </c>
      <c r="BF88" s="555" t="str">
        <f t="shared" si="57"/>
        <v/>
      </c>
      <c r="BG88" s="555" t="str">
        <f t="shared" si="58"/>
        <v/>
      </c>
      <c r="BH88" s="555" t="str">
        <f t="shared" si="46"/>
        <v/>
      </c>
      <c r="BI88" s="555" t="str">
        <f t="shared" si="47"/>
        <v/>
      </c>
      <c r="BL88" t="str">
        <f t="shared" si="59"/>
        <v/>
      </c>
      <c r="BM88" t="str">
        <f t="shared" si="60"/>
        <v/>
      </c>
      <c r="BN88" t="str">
        <f t="shared" si="61"/>
        <v/>
      </c>
      <c r="BO88" s="562" t="str">
        <f>IF(BN88="対象",ROUNDDOWN(L88*VLOOKUP(K88,【参考】数式用!$A$4:$J$42,10,FALSE)*AA88,0),"")</f>
        <v/>
      </c>
      <c r="BP88" t="str">
        <f t="shared" si="62"/>
        <v/>
      </c>
    </row>
    <row r="89" spans="1:68" ht="109.95" customHeight="1" thickBot="1">
      <c r="A89" s="306">
        <v>76</v>
      </c>
      <c r="B89" s="646" t="str">
        <f>IF(基本情報入力シート!B111="","",基本情報入力シート!B111)</f>
        <v/>
      </c>
      <c r="C89" s="647"/>
      <c r="D89" s="647"/>
      <c r="E89" s="647"/>
      <c r="F89" s="648"/>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53" t="str">
        <f>IF(基本情報入力シート!AF111=0, "",基本情報入力シート!AF111)</f>
        <v/>
      </c>
      <c r="M89" s="519" t="str">
        <f>IF('別紙様式2-2（個票（４、５月））'!M89="","",'別紙様式2-2（個票（４、５月））'!M89)</f>
        <v/>
      </c>
      <c r="N89" s="518" t="str">
        <f>IF('別紙様式2-2（個票（４、５月））'!N89="","",'別紙様式2-2（個票（４、５月））'!N89)</f>
        <v/>
      </c>
      <c r="O89" s="289"/>
      <c r="P89" s="549" t="str">
        <f>IFERROR(VLOOKUP(K89,【参考】数式用!$A$2:$M$57,MATCH(O89,【参考】数式用!$G$3:$M$3,0)+6,0),"")</f>
        <v/>
      </c>
      <c r="Q89" s="313" t="s">
        <v>113</v>
      </c>
      <c r="R89" s="311"/>
      <c r="S89" s="312" t="s">
        <v>178</v>
      </c>
      <c r="T89" s="311"/>
      <c r="U89" s="312" t="s">
        <v>179</v>
      </c>
      <c r="V89" s="311"/>
      <c r="W89" s="312" t="s">
        <v>178</v>
      </c>
      <c r="X89" s="311"/>
      <c r="Y89" s="312" t="s">
        <v>115</v>
      </c>
      <c r="Z89" s="312" t="s">
        <v>181</v>
      </c>
      <c r="AA89" s="312" t="str">
        <f t="shared" si="64"/>
        <v/>
      </c>
      <c r="AB89" s="308" t="s">
        <v>182</v>
      </c>
      <c r="AC89" s="309" t="str">
        <f t="shared" si="48"/>
        <v/>
      </c>
      <c r="AD89" s="510" t="str">
        <f t="shared" si="49"/>
        <v/>
      </c>
      <c r="AE89" s="310" t="str">
        <f>IFERROR(ROUNDDOWN(ROUNDDOWN(ROUND(L89*VLOOKUP(K89,【参考】数式用!$A$2:$M$57,MATCH("処遇改善加算Ⅳ",【参考】数式用!$G$3:$M$3,0)+6,0),0),0)*AA89*0.5,0), "")</f>
        <v/>
      </c>
      <c r="AF89" s="321"/>
      <c r="AG89" s="322"/>
      <c r="AH89" s="322"/>
      <c r="AI89" s="321"/>
      <c r="AJ89" s="323"/>
      <c r="AK89" s="329"/>
      <c r="AL89" s="327" t="str">
        <f t="shared" si="38"/>
        <v/>
      </c>
      <c r="AM89" s="328" t="str">
        <f t="shared" si="50"/>
        <v/>
      </c>
      <c r="AN89" s="258"/>
      <c r="AO89" s="551" t="str">
        <f>IFERROR(VLOOKUP(K89,【参考】数式用!$A$2:$N$57,14,FALSE),"")</f>
        <v/>
      </c>
      <c r="AP89" s="551" t="str">
        <f t="shared" si="51"/>
        <v/>
      </c>
      <c r="AQ89" s="556" t="str">
        <f t="shared" si="39"/>
        <v/>
      </c>
      <c r="AR89" s="556" t="str">
        <f t="shared" si="63"/>
        <v>キャリアパス要件Ⅰ・Ⅱ_</v>
      </c>
      <c r="AS89" s="534" t="str">
        <f t="shared" si="40"/>
        <v>入力済</v>
      </c>
      <c r="AT89" s="551" t="str">
        <f t="shared" si="52"/>
        <v/>
      </c>
      <c r="AU89" s="534" t="str">
        <f t="shared" si="41"/>
        <v>入力済</v>
      </c>
      <c r="AV89" s="534" t="str">
        <f t="shared" si="42"/>
        <v/>
      </c>
      <c r="AW89" s="534" t="str">
        <f t="shared" si="53"/>
        <v/>
      </c>
      <c r="AX89" s="551" t="str">
        <f t="shared" si="43"/>
        <v/>
      </c>
      <c r="AY89" s="534" t="str">
        <f>IFERROR(VLOOKUP(K89,【参考】数式用!$AR$3:$AS$49, 2, FALSE), "")</f>
        <v/>
      </c>
      <c r="AZ89" s="551" t="str">
        <f t="shared" si="54"/>
        <v/>
      </c>
      <c r="BA89" s="555" t="str">
        <f t="shared" si="44"/>
        <v>入力済</v>
      </c>
      <c r="BB89" s="534" t="str">
        <f>IFERROR(VLOOKUP(K89,【参考】数式用!$AX$3:$AY$59, 2, FALSE), "")</f>
        <v/>
      </c>
      <c r="BC89" s="551" t="str">
        <f t="shared" si="55"/>
        <v/>
      </c>
      <c r="BD89" s="555" t="str">
        <f t="shared" si="45"/>
        <v>入力済</v>
      </c>
      <c r="BE89" s="555" t="str">
        <f t="shared" si="56"/>
        <v/>
      </c>
      <c r="BF89" s="555" t="str">
        <f t="shared" si="57"/>
        <v/>
      </c>
      <c r="BG89" s="555" t="str">
        <f t="shared" si="58"/>
        <v/>
      </c>
      <c r="BH89" s="555" t="str">
        <f t="shared" si="46"/>
        <v/>
      </c>
      <c r="BI89" s="555" t="str">
        <f t="shared" si="47"/>
        <v/>
      </c>
      <c r="BL89" t="str">
        <f t="shared" si="59"/>
        <v/>
      </c>
      <c r="BM89" t="str">
        <f t="shared" si="60"/>
        <v/>
      </c>
      <c r="BN89" t="str">
        <f t="shared" si="61"/>
        <v/>
      </c>
      <c r="BO89" s="562" t="str">
        <f>IF(BN89="対象",ROUNDDOWN(L89*VLOOKUP(K89,【参考】数式用!$A$4:$J$42,10,FALSE)*AA89,0),"")</f>
        <v/>
      </c>
      <c r="BP89" t="str">
        <f t="shared" si="62"/>
        <v/>
      </c>
    </row>
    <row r="90" spans="1:68" ht="109.95" customHeight="1" thickBot="1">
      <c r="A90" s="306">
        <v>77</v>
      </c>
      <c r="B90" s="646" t="str">
        <f>IF(基本情報入力シート!B112="","",基本情報入力シート!B112)</f>
        <v/>
      </c>
      <c r="C90" s="647"/>
      <c r="D90" s="647"/>
      <c r="E90" s="647"/>
      <c r="F90" s="648"/>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53" t="str">
        <f>IF(基本情報入力シート!AF112=0, "",基本情報入力シート!AF112)</f>
        <v/>
      </c>
      <c r="M90" s="519" t="str">
        <f>IF('別紙様式2-2（個票（４、５月））'!M90="","",'別紙様式2-2（個票（４、５月））'!M90)</f>
        <v/>
      </c>
      <c r="N90" s="518" t="str">
        <f>IF('別紙様式2-2（個票（４、５月））'!N90="","",'別紙様式2-2（個票（４、５月））'!N90)</f>
        <v/>
      </c>
      <c r="O90" s="289"/>
      <c r="P90" s="549" t="str">
        <f>IFERROR(VLOOKUP(K90,【参考】数式用!$A$2:$M$57,MATCH(O90,【参考】数式用!$G$3:$M$3,0)+6,0),"")</f>
        <v/>
      </c>
      <c r="Q90" s="313" t="s">
        <v>113</v>
      </c>
      <c r="R90" s="311"/>
      <c r="S90" s="312" t="s">
        <v>178</v>
      </c>
      <c r="T90" s="311"/>
      <c r="U90" s="312" t="s">
        <v>179</v>
      </c>
      <c r="V90" s="311"/>
      <c r="W90" s="312" t="s">
        <v>178</v>
      </c>
      <c r="X90" s="311"/>
      <c r="Y90" s="312" t="s">
        <v>115</v>
      </c>
      <c r="Z90" s="312" t="s">
        <v>181</v>
      </c>
      <c r="AA90" s="312" t="str">
        <f t="shared" si="64"/>
        <v/>
      </c>
      <c r="AB90" s="308" t="s">
        <v>182</v>
      </c>
      <c r="AC90" s="309" t="str">
        <f t="shared" si="48"/>
        <v/>
      </c>
      <c r="AD90" s="510" t="str">
        <f t="shared" si="49"/>
        <v/>
      </c>
      <c r="AE90" s="310" t="str">
        <f>IFERROR(ROUNDDOWN(ROUNDDOWN(ROUND(L90*VLOOKUP(K90,【参考】数式用!$A$2:$M$57,MATCH("処遇改善加算Ⅳ",【参考】数式用!$G$3:$M$3,0)+6,0),0),0)*AA90*0.5,0), "")</f>
        <v/>
      </c>
      <c r="AF90" s="321"/>
      <c r="AG90" s="322"/>
      <c r="AH90" s="322"/>
      <c r="AI90" s="321"/>
      <c r="AJ90" s="323"/>
      <c r="AK90" s="329"/>
      <c r="AL90" s="327" t="str">
        <f t="shared" si="38"/>
        <v/>
      </c>
      <c r="AM90" s="328" t="str">
        <f t="shared" si="50"/>
        <v/>
      </c>
      <c r="AN90" s="258"/>
      <c r="AO90" s="551" t="str">
        <f>IFERROR(VLOOKUP(K90,【参考】数式用!$A$2:$N$57,14,FALSE),"")</f>
        <v/>
      </c>
      <c r="AP90" s="551" t="str">
        <f t="shared" si="51"/>
        <v/>
      </c>
      <c r="AQ90" s="556" t="str">
        <f t="shared" si="39"/>
        <v/>
      </c>
      <c r="AR90" s="556" t="str">
        <f t="shared" si="63"/>
        <v>キャリアパス要件Ⅰ・Ⅱ_</v>
      </c>
      <c r="AS90" s="534" t="str">
        <f t="shared" si="40"/>
        <v>入力済</v>
      </c>
      <c r="AT90" s="551" t="str">
        <f t="shared" si="52"/>
        <v/>
      </c>
      <c r="AU90" s="534" t="str">
        <f t="shared" si="41"/>
        <v>入力済</v>
      </c>
      <c r="AV90" s="534" t="str">
        <f t="shared" si="42"/>
        <v/>
      </c>
      <c r="AW90" s="534" t="str">
        <f t="shared" si="53"/>
        <v/>
      </c>
      <c r="AX90" s="551" t="str">
        <f t="shared" si="43"/>
        <v/>
      </c>
      <c r="AY90" s="534" t="str">
        <f>IFERROR(VLOOKUP(K90,【参考】数式用!$AR$3:$AS$49, 2, FALSE), "")</f>
        <v/>
      </c>
      <c r="AZ90" s="551" t="str">
        <f t="shared" si="54"/>
        <v/>
      </c>
      <c r="BA90" s="555" t="str">
        <f t="shared" si="44"/>
        <v>入力済</v>
      </c>
      <c r="BB90" s="534" t="str">
        <f>IFERROR(VLOOKUP(K90,【参考】数式用!$AX$3:$AY$59, 2, FALSE), "")</f>
        <v/>
      </c>
      <c r="BC90" s="551" t="str">
        <f t="shared" si="55"/>
        <v/>
      </c>
      <c r="BD90" s="555" t="str">
        <f t="shared" si="45"/>
        <v>入力済</v>
      </c>
      <c r="BE90" s="555" t="str">
        <f t="shared" si="56"/>
        <v/>
      </c>
      <c r="BF90" s="555" t="str">
        <f t="shared" si="57"/>
        <v/>
      </c>
      <c r="BG90" s="555" t="str">
        <f t="shared" si="58"/>
        <v/>
      </c>
      <c r="BH90" s="555" t="str">
        <f t="shared" si="46"/>
        <v/>
      </c>
      <c r="BI90" s="555" t="str">
        <f t="shared" si="47"/>
        <v/>
      </c>
      <c r="BL90" t="str">
        <f t="shared" si="59"/>
        <v/>
      </c>
      <c r="BM90" t="str">
        <f t="shared" si="60"/>
        <v/>
      </c>
      <c r="BN90" t="str">
        <f t="shared" si="61"/>
        <v/>
      </c>
      <c r="BO90" s="562" t="str">
        <f>IF(BN90="対象",ROUNDDOWN(L90*VLOOKUP(K90,【参考】数式用!$A$4:$J$42,10,FALSE)*AA90,0),"")</f>
        <v/>
      </c>
      <c r="BP90" t="str">
        <f t="shared" si="62"/>
        <v/>
      </c>
    </row>
    <row r="91" spans="1:68" ht="109.95" customHeight="1" thickBot="1">
      <c r="A91" s="306">
        <v>78</v>
      </c>
      <c r="B91" s="646" t="str">
        <f>IF(基本情報入力シート!B113="","",基本情報入力シート!B113)</f>
        <v/>
      </c>
      <c r="C91" s="647"/>
      <c r="D91" s="647"/>
      <c r="E91" s="647"/>
      <c r="F91" s="648"/>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53" t="str">
        <f>IF(基本情報入力シート!AF113=0, "",基本情報入力シート!AF113)</f>
        <v/>
      </c>
      <c r="M91" s="519" t="str">
        <f>IF('別紙様式2-2（個票（４、５月））'!M91="","",'別紙様式2-2（個票（４、５月））'!M91)</f>
        <v/>
      </c>
      <c r="N91" s="518" t="str">
        <f>IF('別紙様式2-2（個票（４、５月））'!N91="","",'別紙様式2-2（個票（４、５月））'!N91)</f>
        <v/>
      </c>
      <c r="O91" s="289"/>
      <c r="P91" s="549" t="str">
        <f>IFERROR(VLOOKUP(K91,【参考】数式用!$A$2:$M$57,MATCH(O91,【参考】数式用!$G$3:$M$3,0)+6,0),"")</f>
        <v/>
      </c>
      <c r="Q91" s="313" t="s">
        <v>113</v>
      </c>
      <c r="R91" s="311"/>
      <c r="S91" s="312" t="s">
        <v>178</v>
      </c>
      <c r="T91" s="311"/>
      <c r="U91" s="312" t="s">
        <v>179</v>
      </c>
      <c r="V91" s="311"/>
      <c r="W91" s="312" t="s">
        <v>178</v>
      </c>
      <c r="X91" s="311"/>
      <c r="Y91" s="312" t="s">
        <v>180</v>
      </c>
      <c r="Z91" s="312" t="s">
        <v>181</v>
      </c>
      <c r="AA91" s="312" t="str">
        <f t="shared" si="64"/>
        <v/>
      </c>
      <c r="AB91" s="308" t="s">
        <v>182</v>
      </c>
      <c r="AC91" s="309" t="str">
        <f t="shared" si="48"/>
        <v/>
      </c>
      <c r="AD91" s="510" t="str">
        <f t="shared" si="49"/>
        <v/>
      </c>
      <c r="AE91" s="310" t="str">
        <f>IFERROR(ROUNDDOWN(ROUNDDOWN(ROUND(L91*VLOOKUP(K91,【参考】数式用!$A$2:$M$57,MATCH("処遇改善加算Ⅳ",【参考】数式用!$G$3:$M$3,0)+6,0),0),0)*AA91*0.5,0), "")</f>
        <v/>
      </c>
      <c r="AF91" s="321"/>
      <c r="AG91" s="322"/>
      <c r="AH91" s="322"/>
      <c r="AI91" s="321"/>
      <c r="AJ91" s="323"/>
      <c r="AK91" s="329"/>
      <c r="AL91" s="327" t="str">
        <f t="shared" si="38"/>
        <v/>
      </c>
      <c r="AM91" s="328" t="str">
        <f t="shared" si="50"/>
        <v/>
      </c>
      <c r="AN91" s="258"/>
      <c r="AO91" s="551" t="str">
        <f>IFERROR(VLOOKUP(K91,【参考】数式用!$A$2:$N$57,14,FALSE),"")</f>
        <v/>
      </c>
      <c r="AP91" s="551" t="str">
        <f t="shared" si="51"/>
        <v/>
      </c>
      <c r="AQ91" s="556" t="str">
        <f t="shared" si="39"/>
        <v/>
      </c>
      <c r="AR91" s="556" t="str">
        <f t="shared" si="63"/>
        <v>キャリアパス要件Ⅰ・Ⅱ_</v>
      </c>
      <c r="AS91" s="534" t="str">
        <f t="shared" si="40"/>
        <v>入力済</v>
      </c>
      <c r="AT91" s="551" t="str">
        <f t="shared" si="52"/>
        <v/>
      </c>
      <c r="AU91" s="534" t="str">
        <f t="shared" si="41"/>
        <v>入力済</v>
      </c>
      <c r="AV91" s="534" t="str">
        <f t="shared" si="42"/>
        <v/>
      </c>
      <c r="AW91" s="534" t="str">
        <f t="shared" si="53"/>
        <v/>
      </c>
      <c r="AX91" s="551" t="str">
        <f t="shared" si="43"/>
        <v/>
      </c>
      <c r="AY91" s="534" t="str">
        <f>IFERROR(VLOOKUP(K91,【参考】数式用!$AR$3:$AS$49, 2, FALSE), "")</f>
        <v/>
      </c>
      <c r="AZ91" s="551" t="str">
        <f t="shared" si="54"/>
        <v/>
      </c>
      <c r="BA91" s="555" t="str">
        <f t="shared" si="44"/>
        <v>入力済</v>
      </c>
      <c r="BB91" s="534" t="str">
        <f>IFERROR(VLOOKUP(K91,【参考】数式用!$AX$3:$AY$59, 2, FALSE), "")</f>
        <v/>
      </c>
      <c r="BC91" s="551" t="str">
        <f t="shared" si="55"/>
        <v/>
      </c>
      <c r="BD91" s="555" t="str">
        <f t="shared" si="45"/>
        <v>入力済</v>
      </c>
      <c r="BE91" s="555" t="str">
        <f t="shared" si="56"/>
        <v/>
      </c>
      <c r="BF91" s="555" t="str">
        <f t="shared" si="57"/>
        <v/>
      </c>
      <c r="BG91" s="555" t="str">
        <f t="shared" si="58"/>
        <v/>
      </c>
      <c r="BH91" s="555" t="str">
        <f t="shared" si="46"/>
        <v/>
      </c>
      <c r="BI91" s="555" t="str">
        <f t="shared" si="47"/>
        <v/>
      </c>
      <c r="BL91" t="str">
        <f t="shared" si="59"/>
        <v/>
      </c>
      <c r="BM91" t="str">
        <f t="shared" si="60"/>
        <v/>
      </c>
      <c r="BN91" t="str">
        <f t="shared" si="61"/>
        <v/>
      </c>
      <c r="BO91" s="562" t="str">
        <f>IF(BN91="対象",ROUNDDOWN(L91*VLOOKUP(K91,【参考】数式用!$A$4:$J$42,10,FALSE)*AA91,0),"")</f>
        <v/>
      </c>
      <c r="BP91" t="str">
        <f t="shared" si="62"/>
        <v/>
      </c>
    </row>
    <row r="92" spans="1:68" ht="109.95" customHeight="1" thickBot="1">
      <c r="A92" s="306">
        <v>79</v>
      </c>
      <c r="B92" s="646" t="str">
        <f>IF(基本情報入力シート!B114="","",基本情報入力シート!B114)</f>
        <v/>
      </c>
      <c r="C92" s="647"/>
      <c r="D92" s="647"/>
      <c r="E92" s="647"/>
      <c r="F92" s="648"/>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53" t="str">
        <f>IF(基本情報入力シート!AF114=0, "",基本情報入力シート!AF114)</f>
        <v/>
      </c>
      <c r="M92" s="519" t="str">
        <f>IF('別紙様式2-2（個票（４、５月））'!M92="","",'別紙様式2-2（個票（４、５月））'!M92)</f>
        <v/>
      </c>
      <c r="N92" s="518" t="str">
        <f>IF('別紙様式2-2（個票（４、５月））'!N92="","",'別紙様式2-2（個票（４、５月））'!N92)</f>
        <v/>
      </c>
      <c r="O92" s="289"/>
      <c r="P92" s="549" t="str">
        <f>IFERROR(VLOOKUP(K92,【参考】数式用!$A$2:$M$57,MATCH(O92,【参考】数式用!$G$3:$M$3,0)+6,0),"")</f>
        <v/>
      </c>
      <c r="Q92" s="313" t="s">
        <v>113</v>
      </c>
      <c r="R92" s="311"/>
      <c r="S92" s="312" t="s">
        <v>178</v>
      </c>
      <c r="T92" s="311"/>
      <c r="U92" s="312" t="s">
        <v>179</v>
      </c>
      <c r="V92" s="311"/>
      <c r="W92" s="312" t="s">
        <v>178</v>
      </c>
      <c r="X92" s="311"/>
      <c r="Y92" s="312" t="s">
        <v>180</v>
      </c>
      <c r="Z92" s="312" t="s">
        <v>181</v>
      </c>
      <c r="AA92" s="312" t="str">
        <f t="shared" si="64"/>
        <v/>
      </c>
      <c r="AB92" s="308" t="s">
        <v>182</v>
      </c>
      <c r="AC92" s="309" t="str">
        <f t="shared" si="48"/>
        <v/>
      </c>
      <c r="AD92" s="510" t="str">
        <f t="shared" si="49"/>
        <v/>
      </c>
      <c r="AE92" s="310" t="str">
        <f>IFERROR(ROUNDDOWN(ROUNDDOWN(ROUND(L92*VLOOKUP(K92,【参考】数式用!$A$2:$M$57,MATCH("処遇改善加算Ⅳ",【参考】数式用!$G$3:$M$3,0)+6,0),0),0)*AA92*0.5,0), "")</f>
        <v/>
      </c>
      <c r="AF92" s="321"/>
      <c r="AG92" s="322"/>
      <c r="AH92" s="322"/>
      <c r="AI92" s="321"/>
      <c r="AJ92" s="323"/>
      <c r="AK92" s="329"/>
      <c r="AL92" s="327" t="str">
        <f t="shared" si="38"/>
        <v/>
      </c>
      <c r="AM92" s="328" t="str">
        <f t="shared" si="50"/>
        <v/>
      </c>
      <c r="AN92" s="258"/>
      <c r="AO92" s="551" t="str">
        <f>IFERROR(VLOOKUP(K92,【参考】数式用!$A$2:$N$57,14,FALSE),"")</f>
        <v/>
      </c>
      <c r="AP92" s="551" t="str">
        <f t="shared" si="51"/>
        <v/>
      </c>
      <c r="AQ92" s="556" t="str">
        <f t="shared" si="39"/>
        <v/>
      </c>
      <c r="AR92" s="556" t="str">
        <f t="shared" si="63"/>
        <v>キャリアパス要件Ⅰ・Ⅱ_</v>
      </c>
      <c r="AS92" s="534" t="str">
        <f t="shared" si="40"/>
        <v>入力済</v>
      </c>
      <c r="AT92" s="551" t="str">
        <f t="shared" si="52"/>
        <v/>
      </c>
      <c r="AU92" s="534" t="str">
        <f t="shared" si="41"/>
        <v>入力済</v>
      </c>
      <c r="AV92" s="534" t="str">
        <f t="shared" si="42"/>
        <v/>
      </c>
      <c r="AW92" s="534" t="str">
        <f t="shared" si="53"/>
        <v/>
      </c>
      <c r="AX92" s="551" t="str">
        <f t="shared" si="43"/>
        <v/>
      </c>
      <c r="AY92" s="534" t="str">
        <f>IFERROR(VLOOKUP(K92,【参考】数式用!$AR$3:$AS$49, 2, FALSE), "")</f>
        <v/>
      </c>
      <c r="AZ92" s="551" t="str">
        <f t="shared" si="54"/>
        <v/>
      </c>
      <c r="BA92" s="555" t="str">
        <f t="shared" si="44"/>
        <v>入力済</v>
      </c>
      <c r="BB92" s="534" t="str">
        <f>IFERROR(VLOOKUP(K92,【参考】数式用!$AX$3:$AY$59, 2, FALSE), "")</f>
        <v/>
      </c>
      <c r="BC92" s="551" t="str">
        <f t="shared" si="55"/>
        <v/>
      </c>
      <c r="BD92" s="555" t="str">
        <f t="shared" si="45"/>
        <v>入力済</v>
      </c>
      <c r="BE92" s="555" t="str">
        <f t="shared" si="56"/>
        <v/>
      </c>
      <c r="BF92" s="555" t="str">
        <f t="shared" si="57"/>
        <v/>
      </c>
      <c r="BG92" s="555" t="str">
        <f t="shared" si="58"/>
        <v/>
      </c>
      <c r="BH92" s="555" t="str">
        <f t="shared" si="46"/>
        <v/>
      </c>
      <c r="BI92" s="555" t="str">
        <f t="shared" si="47"/>
        <v/>
      </c>
      <c r="BL92" t="str">
        <f t="shared" si="59"/>
        <v/>
      </c>
      <c r="BM92" t="str">
        <f t="shared" si="60"/>
        <v/>
      </c>
      <c r="BN92" t="str">
        <f t="shared" si="61"/>
        <v/>
      </c>
      <c r="BO92" s="562" t="str">
        <f>IF(BN92="対象",ROUNDDOWN(L92*VLOOKUP(K92,【参考】数式用!$A$4:$J$42,10,FALSE)*AA92,0),"")</f>
        <v/>
      </c>
      <c r="BP92" t="str">
        <f t="shared" si="62"/>
        <v/>
      </c>
    </row>
    <row r="93" spans="1:68" ht="109.95" customHeight="1" thickBot="1">
      <c r="A93" s="306">
        <v>80</v>
      </c>
      <c r="B93" s="646" t="str">
        <f>IF(基本情報入力シート!B115="","",基本情報入力シート!B115)</f>
        <v/>
      </c>
      <c r="C93" s="647"/>
      <c r="D93" s="647"/>
      <c r="E93" s="647"/>
      <c r="F93" s="648"/>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53" t="str">
        <f>IF(基本情報入力シート!AF115=0, "",基本情報入力シート!AF115)</f>
        <v/>
      </c>
      <c r="M93" s="519" t="str">
        <f>IF('別紙様式2-2（個票（４、５月））'!M93="","",'別紙様式2-2（個票（４、５月））'!M93)</f>
        <v/>
      </c>
      <c r="N93" s="518" t="str">
        <f>IF('別紙様式2-2（個票（４、５月））'!N93="","",'別紙様式2-2（個票（４、５月））'!N93)</f>
        <v/>
      </c>
      <c r="O93" s="289"/>
      <c r="P93" s="549" t="str">
        <f>IFERROR(VLOOKUP(K93,【参考】数式用!$A$2:$M$57,MATCH(O93,【参考】数式用!$G$3:$M$3,0)+6,0),"")</f>
        <v/>
      </c>
      <c r="Q93" s="313" t="s">
        <v>113</v>
      </c>
      <c r="R93" s="311"/>
      <c r="S93" s="312" t="s">
        <v>178</v>
      </c>
      <c r="T93" s="311"/>
      <c r="U93" s="312" t="s">
        <v>179</v>
      </c>
      <c r="V93" s="311"/>
      <c r="W93" s="312" t="s">
        <v>178</v>
      </c>
      <c r="X93" s="311"/>
      <c r="Y93" s="312" t="s">
        <v>180</v>
      </c>
      <c r="Z93" s="312" t="s">
        <v>181</v>
      </c>
      <c r="AA93" s="312" t="str">
        <f t="shared" si="64"/>
        <v/>
      </c>
      <c r="AB93" s="308" t="s">
        <v>182</v>
      </c>
      <c r="AC93" s="309" t="str">
        <f t="shared" si="48"/>
        <v/>
      </c>
      <c r="AD93" s="510" t="str">
        <f t="shared" si="49"/>
        <v/>
      </c>
      <c r="AE93" s="310" t="str">
        <f>IFERROR(ROUNDDOWN(ROUNDDOWN(ROUND(L93*VLOOKUP(K93,【参考】数式用!$A$2:$M$57,MATCH("処遇改善加算Ⅳ",【参考】数式用!$G$3:$M$3,0)+6,0),0),0)*AA93*0.5,0), "")</f>
        <v/>
      </c>
      <c r="AF93" s="321"/>
      <c r="AG93" s="322"/>
      <c r="AH93" s="322"/>
      <c r="AI93" s="321"/>
      <c r="AJ93" s="323"/>
      <c r="AK93" s="329"/>
      <c r="AL93" s="327" t="str">
        <f t="shared" si="38"/>
        <v/>
      </c>
      <c r="AM93" s="328" t="str">
        <f t="shared" si="50"/>
        <v/>
      </c>
      <c r="AN93" s="258"/>
      <c r="AO93" s="551" t="str">
        <f>IFERROR(VLOOKUP(K93,【参考】数式用!$A$2:$N$57,14,FALSE),"")</f>
        <v/>
      </c>
      <c r="AP93" s="551" t="str">
        <f t="shared" si="51"/>
        <v/>
      </c>
      <c r="AQ93" s="556" t="str">
        <f t="shared" si="39"/>
        <v/>
      </c>
      <c r="AR93" s="556" t="str">
        <f t="shared" si="63"/>
        <v>キャリアパス要件Ⅰ・Ⅱ_</v>
      </c>
      <c r="AS93" s="534" t="str">
        <f t="shared" si="40"/>
        <v>入力済</v>
      </c>
      <c r="AT93" s="551" t="str">
        <f t="shared" si="52"/>
        <v/>
      </c>
      <c r="AU93" s="534" t="str">
        <f t="shared" si="41"/>
        <v>入力済</v>
      </c>
      <c r="AV93" s="534" t="str">
        <f t="shared" si="42"/>
        <v/>
      </c>
      <c r="AW93" s="534" t="str">
        <f t="shared" si="53"/>
        <v/>
      </c>
      <c r="AX93" s="551" t="str">
        <f t="shared" si="43"/>
        <v/>
      </c>
      <c r="AY93" s="534" t="str">
        <f>IFERROR(VLOOKUP(K93,【参考】数式用!$AR$3:$AS$49, 2, FALSE), "")</f>
        <v/>
      </c>
      <c r="AZ93" s="551" t="str">
        <f t="shared" si="54"/>
        <v/>
      </c>
      <c r="BA93" s="555" t="str">
        <f t="shared" si="44"/>
        <v>入力済</v>
      </c>
      <c r="BB93" s="534" t="str">
        <f>IFERROR(VLOOKUP(K93,【参考】数式用!$AX$3:$AY$59, 2, FALSE), "")</f>
        <v/>
      </c>
      <c r="BC93" s="551" t="str">
        <f t="shared" si="55"/>
        <v/>
      </c>
      <c r="BD93" s="555" t="str">
        <f t="shared" si="45"/>
        <v>入力済</v>
      </c>
      <c r="BE93" s="555" t="str">
        <f t="shared" si="56"/>
        <v/>
      </c>
      <c r="BF93" s="555" t="str">
        <f t="shared" si="57"/>
        <v/>
      </c>
      <c r="BG93" s="555" t="str">
        <f t="shared" si="58"/>
        <v/>
      </c>
      <c r="BH93" s="555" t="str">
        <f t="shared" si="46"/>
        <v/>
      </c>
      <c r="BI93" s="555" t="str">
        <f t="shared" si="47"/>
        <v/>
      </c>
      <c r="BL93" t="str">
        <f t="shared" si="59"/>
        <v/>
      </c>
      <c r="BM93" t="str">
        <f t="shared" si="60"/>
        <v/>
      </c>
      <c r="BN93" t="str">
        <f t="shared" si="61"/>
        <v/>
      </c>
      <c r="BO93" s="562" t="str">
        <f>IF(BN93="対象",ROUNDDOWN(L93*VLOOKUP(K93,【参考】数式用!$A$4:$J$42,10,FALSE)*AA93,0),"")</f>
        <v/>
      </c>
      <c r="BP93" t="str">
        <f t="shared" si="62"/>
        <v/>
      </c>
    </row>
    <row r="94" spans="1:68" ht="109.95" customHeight="1" thickBot="1">
      <c r="A94" s="306">
        <v>81</v>
      </c>
      <c r="B94" s="646" t="str">
        <f>IF(基本情報入力シート!B116="","",基本情報入力シート!B116)</f>
        <v/>
      </c>
      <c r="C94" s="647"/>
      <c r="D94" s="647"/>
      <c r="E94" s="647"/>
      <c r="F94" s="648"/>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53" t="str">
        <f>IF(基本情報入力シート!AF116=0, "",基本情報入力シート!AF116)</f>
        <v/>
      </c>
      <c r="M94" s="519" t="str">
        <f>IF('別紙様式2-2（個票（４、５月））'!M94="","",'別紙様式2-2（個票（４、５月））'!M94)</f>
        <v/>
      </c>
      <c r="N94" s="518" t="str">
        <f>IF('別紙様式2-2（個票（４、５月））'!N94="","",'別紙様式2-2（個票（４、５月））'!N94)</f>
        <v/>
      </c>
      <c r="O94" s="289"/>
      <c r="P94" s="549" t="str">
        <f>IFERROR(VLOOKUP(K94,【参考】数式用!$A$2:$M$57,MATCH(O94,【参考】数式用!$G$3:$M$3,0)+6,0),"")</f>
        <v/>
      </c>
      <c r="Q94" s="313" t="s">
        <v>113</v>
      </c>
      <c r="R94" s="311"/>
      <c r="S94" s="312" t="s">
        <v>178</v>
      </c>
      <c r="T94" s="311"/>
      <c r="U94" s="312" t="s">
        <v>179</v>
      </c>
      <c r="V94" s="311"/>
      <c r="W94" s="312" t="s">
        <v>178</v>
      </c>
      <c r="X94" s="311"/>
      <c r="Y94" s="312" t="s">
        <v>115</v>
      </c>
      <c r="Z94" s="312" t="s">
        <v>181</v>
      </c>
      <c r="AA94" s="312" t="str">
        <f t="shared" si="64"/>
        <v/>
      </c>
      <c r="AB94" s="308" t="s">
        <v>182</v>
      </c>
      <c r="AC94" s="309" t="str">
        <f t="shared" si="48"/>
        <v/>
      </c>
      <c r="AD94" s="510" t="str">
        <f t="shared" si="49"/>
        <v/>
      </c>
      <c r="AE94" s="310" t="str">
        <f>IFERROR(ROUNDDOWN(ROUNDDOWN(ROUND(L94*VLOOKUP(K94,【参考】数式用!$A$2:$M$57,MATCH("処遇改善加算Ⅳ",【参考】数式用!$G$3:$M$3,0)+6,0),0),0)*AA94*0.5,0), "")</f>
        <v/>
      </c>
      <c r="AF94" s="321"/>
      <c r="AG94" s="322"/>
      <c r="AH94" s="322"/>
      <c r="AI94" s="321"/>
      <c r="AJ94" s="323"/>
      <c r="AK94" s="329"/>
      <c r="AL94" s="327" t="str">
        <f t="shared" si="38"/>
        <v/>
      </c>
      <c r="AM94" s="328" t="str">
        <f t="shared" si="50"/>
        <v/>
      </c>
      <c r="AN94" s="258"/>
      <c r="AO94" s="551" t="str">
        <f>IFERROR(VLOOKUP(K94,【参考】数式用!$A$2:$N$57,14,FALSE),"")</f>
        <v/>
      </c>
      <c r="AP94" s="551" t="str">
        <f t="shared" si="51"/>
        <v/>
      </c>
      <c r="AQ94" s="556" t="str">
        <f t="shared" si="39"/>
        <v/>
      </c>
      <c r="AR94" s="556" t="str">
        <f t="shared" si="63"/>
        <v>キャリアパス要件Ⅰ・Ⅱ_</v>
      </c>
      <c r="AS94" s="534" t="str">
        <f t="shared" si="40"/>
        <v>入力済</v>
      </c>
      <c r="AT94" s="551" t="str">
        <f t="shared" si="52"/>
        <v/>
      </c>
      <c r="AU94" s="534" t="str">
        <f t="shared" si="41"/>
        <v>入力済</v>
      </c>
      <c r="AV94" s="534" t="str">
        <f t="shared" si="42"/>
        <v/>
      </c>
      <c r="AW94" s="534" t="str">
        <f t="shared" si="53"/>
        <v/>
      </c>
      <c r="AX94" s="551" t="str">
        <f t="shared" si="43"/>
        <v/>
      </c>
      <c r="AY94" s="534" t="str">
        <f>IFERROR(VLOOKUP(K94,【参考】数式用!$AR$3:$AS$49, 2, FALSE), "")</f>
        <v/>
      </c>
      <c r="AZ94" s="551" t="str">
        <f t="shared" si="54"/>
        <v/>
      </c>
      <c r="BA94" s="555" t="str">
        <f t="shared" si="44"/>
        <v>入力済</v>
      </c>
      <c r="BB94" s="534" t="str">
        <f>IFERROR(VLOOKUP(K94,【参考】数式用!$AX$3:$AY$59, 2, FALSE), "")</f>
        <v/>
      </c>
      <c r="BC94" s="551" t="str">
        <f t="shared" si="55"/>
        <v/>
      </c>
      <c r="BD94" s="555" t="str">
        <f t="shared" si="45"/>
        <v>入力済</v>
      </c>
      <c r="BE94" s="555" t="str">
        <f t="shared" si="56"/>
        <v/>
      </c>
      <c r="BF94" s="555" t="str">
        <f t="shared" si="57"/>
        <v/>
      </c>
      <c r="BG94" s="555" t="str">
        <f t="shared" si="58"/>
        <v/>
      </c>
      <c r="BH94" s="555" t="str">
        <f t="shared" si="46"/>
        <v/>
      </c>
      <c r="BI94" s="555" t="str">
        <f t="shared" si="47"/>
        <v/>
      </c>
      <c r="BL94" t="str">
        <f t="shared" si="59"/>
        <v/>
      </c>
      <c r="BM94" t="str">
        <f t="shared" si="60"/>
        <v/>
      </c>
      <c r="BN94" t="str">
        <f t="shared" si="61"/>
        <v/>
      </c>
      <c r="BO94" s="562" t="str">
        <f>IF(BN94="対象",ROUNDDOWN(L94*VLOOKUP(K94,【参考】数式用!$A$4:$J$42,10,FALSE)*AA94,0),"")</f>
        <v/>
      </c>
      <c r="BP94" t="str">
        <f t="shared" si="62"/>
        <v/>
      </c>
    </row>
    <row r="95" spans="1:68" ht="109.95" customHeight="1" thickBot="1">
      <c r="A95" s="306">
        <v>82</v>
      </c>
      <c r="B95" s="646" t="str">
        <f>IF(基本情報入力シート!B117="","",基本情報入力シート!B117)</f>
        <v/>
      </c>
      <c r="C95" s="647"/>
      <c r="D95" s="647"/>
      <c r="E95" s="647"/>
      <c r="F95" s="648"/>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53" t="str">
        <f>IF(基本情報入力シート!AF117=0, "",基本情報入力シート!AF117)</f>
        <v/>
      </c>
      <c r="M95" s="519" t="str">
        <f>IF('別紙様式2-2（個票（４、５月））'!M95="","",'別紙様式2-2（個票（４、５月））'!M95)</f>
        <v/>
      </c>
      <c r="N95" s="518" t="str">
        <f>IF('別紙様式2-2（個票（４、５月））'!N95="","",'別紙様式2-2（個票（４、５月））'!N95)</f>
        <v/>
      </c>
      <c r="O95" s="289"/>
      <c r="P95" s="549" t="str">
        <f>IFERROR(VLOOKUP(K95,【参考】数式用!$A$2:$M$57,MATCH(O95,【参考】数式用!$G$3:$M$3,0)+6,0),"")</f>
        <v/>
      </c>
      <c r="Q95" s="313" t="s">
        <v>113</v>
      </c>
      <c r="R95" s="311"/>
      <c r="S95" s="312" t="s">
        <v>178</v>
      </c>
      <c r="T95" s="311"/>
      <c r="U95" s="312" t="s">
        <v>179</v>
      </c>
      <c r="V95" s="311"/>
      <c r="W95" s="312" t="s">
        <v>178</v>
      </c>
      <c r="X95" s="311"/>
      <c r="Y95" s="312" t="s">
        <v>180</v>
      </c>
      <c r="Z95" s="312" t="s">
        <v>181</v>
      </c>
      <c r="AA95" s="312" t="str">
        <f t="shared" si="64"/>
        <v/>
      </c>
      <c r="AB95" s="308" t="s">
        <v>182</v>
      </c>
      <c r="AC95" s="309" t="str">
        <f t="shared" si="48"/>
        <v/>
      </c>
      <c r="AD95" s="510" t="str">
        <f t="shared" si="49"/>
        <v/>
      </c>
      <c r="AE95" s="310" t="str">
        <f>IFERROR(ROUNDDOWN(ROUNDDOWN(ROUND(L95*VLOOKUP(K95,【参考】数式用!$A$2:$M$57,MATCH("処遇改善加算Ⅳ",【参考】数式用!$G$3:$M$3,0)+6,0),0),0)*AA95*0.5,0), "")</f>
        <v/>
      </c>
      <c r="AF95" s="321"/>
      <c r="AG95" s="322"/>
      <c r="AH95" s="322"/>
      <c r="AI95" s="321"/>
      <c r="AJ95" s="323"/>
      <c r="AK95" s="329"/>
      <c r="AL95" s="327" t="str">
        <f t="shared" si="38"/>
        <v/>
      </c>
      <c r="AM95" s="328" t="str">
        <f t="shared" si="50"/>
        <v/>
      </c>
      <c r="AN95" s="258"/>
      <c r="AO95" s="551" t="str">
        <f>IFERROR(VLOOKUP(K95,【参考】数式用!$A$2:$N$57,14,FALSE),"")</f>
        <v/>
      </c>
      <c r="AP95" s="551" t="str">
        <f t="shared" si="51"/>
        <v/>
      </c>
      <c r="AQ95" s="556" t="str">
        <f t="shared" si="39"/>
        <v/>
      </c>
      <c r="AR95" s="556" t="str">
        <f t="shared" si="63"/>
        <v>キャリアパス要件Ⅰ・Ⅱ_</v>
      </c>
      <c r="AS95" s="534" t="str">
        <f t="shared" si="40"/>
        <v>入力済</v>
      </c>
      <c r="AT95" s="551" t="str">
        <f t="shared" si="52"/>
        <v/>
      </c>
      <c r="AU95" s="534" t="str">
        <f t="shared" si="41"/>
        <v>入力済</v>
      </c>
      <c r="AV95" s="534" t="str">
        <f t="shared" si="42"/>
        <v/>
      </c>
      <c r="AW95" s="534" t="str">
        <f t="shared" si="53"/>
        <v/>
      </c>
      <c r="AX95" s="551" t="str">
        <f t="shared" si="43"/>
        <v/>
      </c>
      <c r="AY95" s="534" t="str">
        <f>IFERROR(VLOOKUP(K95,【参考】数式用!$AR$3:$AS$49, 2, FALSE), "")</f>
        <v/>
      </c>
      <c r="AZ95" s="551" t="str">
        <f t="shared" si="54"/>
        <v/>
      </c>
      <c r="BA95" s="555" t="str">
        <f t="shared" si="44"/>
        <v>入力済</v>
      </c>
      <c r="BB95" s="534" t="str">
        <f>IFERROR(VLOOKUP(K95,【参考】数式用!$AX$3:$AY$59, 2, FALSE), "")</f>
        <v/>
      </c>
      <c r="BC95" s="551" t="str">
        <f t="shared" si="55"/>
        <v/>
      </c>
      <c r="BD95" s="555" t="str">
        <f t="shared" si="45"/>
        <v>入力済</v>
      </c>
      <c r="BE95" s="555" t="str">
        <f t="shared" si="56"/>
        <v/>
      </c>
      <c r="BF95" s="555" t="str">
        <f t="shared" si="57"/>
        <v/>
      </c>
      <c r="BG95" s="555" t="str">
        <f t="shared" si="58"/>
        <v/>
      </c>
      <c r="BH95" s="555" t="str">
        <f t="shared" si="46"/>
        <v/>
      </c>
      <c r="BI95" s="555" t="str">
        <f t="shared" si="47"/>
        <v/>
      </c>
      <c r="BL95" t="str">
        <f t="shared" si="59"/>
        <v/>
      </c>
      <c r="BM95" t="str">
        <f t="shared" si="60"/>
        <v/>
      </c>
      <c r="BN95" t="str">
        <f t="shared" si="61"/>
        <v/>
      </c>
      <c r="BO95" s="562" t="str">
        <f>IF(BN95="対象",ROUNDDOWN(L95*VLOOKUP(K95,【参考】数式用!$A$4:$J$42,10,FALSE)*AA95,0),"")</f>
        <v/>
      </c>
      <c r="BP95" t="str">
        <f t="shared" si="62"/>
        <v/>
      </c>
    </row>
    <row r="96" spans="1:68" ht="109.95" customHeight="1" thickBot="1">
      <c r="A96" s="306">
        <v>83</v>
      </c>
      <c r="B96" s="646" t="str">
        <f>IF(基本情報入力シート!B118="","",基本情報入力シート!B118)</f>
        <v/>
      </c>
      <c r="C96" s="647"/>
      <c r="D96" s="647"/>
      <c r="E96" s="647"/>
      <c r="F96" s="648"/>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53" t="str">
        <f>IF(基本情報入力シート!AF118=0, "",基本情報入力シート!AF118)</f>
        <v/>
      </c>
      <c r="M96" s="519" t="str">
        <f>IF('別紙様式2-2（個票（４、５月））'!M96="","",'別紙様式2-2（個票（４、５月））'!M96)</f>
        <v/>
      </c>
      <c r="N96" s="518" t="str">
        <f>IF('別紙様式2-2（個票（４、５月））'!N96="","",'別紙様式2-2（個票（４、５月））'!N96)</f>
        <v/>
      </c>
      <c r="O96" s="289"/>
      <c r="P96" s="549" t="str">
        <f>IFERROR(VLOOKUP(K96,【参考】数式用!$A$2:$M$57,MATCH(O96,【参考】数式用!$G$3:$M$3,0)+6,0),"")</f>
        <v/>
      </c>
      <c r="Q96" s="313" t="s">
        <v>113</v>
      </c>
      <c r="R96" s="311"/>
      <c r="S96" s="312" t="s">
        <v>178</v>
      </c>
      <c r="T96" s="311"/>
      <c r="U96" s="312" t="s">
        <v>179</v>
      </c>
      <c r="V96" s="311"/>
      <c r="W96" s="312" t="s">
        <v>178</v>
      </c>
      <c r="X96" s="311"/>
      <c r="Y96" s="312" t="s">
        <v>180</v>
      </c>
      <c r="Z96" s="312" t="s">
        <v>181</v>
      </c>
      <c r="AA96" s="312" t="str">
        <f t="shared" si="64"/>
        <v/>
      </c>
      <c r="AB96" s="308" t="s">
        <v>182</v>
      </c>
      <c r="AC96" s="309" t="str">
        <f t="shared" si="48"/>
        <v/>
      </c>
      <c r="AD96" s="510" t="str">
        <f t="shared" si="49"/>
        <v/>
      </c>
      <c r="AE96" s="310" t="str">
        <f>IFERROR(ROUNDDOWN(ROUNDDOWN(ROUND(L96*VLOOKUP(K96,【参考】数式用!$A$2:$M$57,MATCH("処遇改善加算Ⅳ",【参考】数式用!$G$3:$M$3,0)+6,0),0),0)*AA96*0.5,0), "")</f>
        <v/>
      </c>
      <c r="AF96" s="321"/>
      <c r="AG96" s="322"/>
      <c r="AH96" s="322"/>
      <c r="AI96" s="321"/>
      <c r="AJ96" s="323"/>
      <c r="AK96" s="329"/>
      <c r="AL96" s="327" t="str">
        <f t="shared" si="38"/>
        <v/>
      </c>
      <c r="AM96" s="328" t="str">
        <f t="shared" si="50"/>
        <v/>
      </c>
      <c r="AN96" s="258"/>
      <c r="AO96" s="551" t="str">
        <f>IFERROR(VLOOKUP(K96,【参考】数式用!$A$2:$N$57,14,FALSE),"")</f>
        <v/>
      </c>
      <c r="AP96" s="551" t="str">
        <f t="shared" si="51"/>
        <v/>
      </c>
      <c r="AQ96" s="556" t="str">
        <f t="shared" si="39"/>
        <v/>
      </c>
      <c r="AR96" s="556" t="str">
        <f t="shared" si="63"/>
        <v>キャリアパス要件Ⅰ・Ⅱ_</v>
      </c>
      <c r="AS96" s="534" t="str">
        <f t="shared" si="40"/>
        <v>入力済</v>
      </c>
      <c r="AT96" s="551" t="str">
        <f t="shared" si="52"/>
        <v/>
      </c>
      <c r="AU96" s="534" t="str">
        <f t="shared" si="41"/>
        <v>入力済</v>
      </c>
      <c r="AV96" s="534" t="str">
        <f t="shared" si="42"/>
        <v/>
      </c>
      <c r="AW96" s="534" t="str">
        <f t="shared" si="53"/>
        <v/>
      </c>
      <c r="AX96" s="551" t="str">
        <f t="shared" si="43"/>
        <v/>
      </c>
      <c r="AY96" s="534" t="str">
        <f>IFERROR(VLOOKUP(K96,【参考】数式用!$AR$3:$AS$49, 2, FALSE), "")</f>
        <v/>
      </c>
      <c r="AZ96" s="551" t="str">
        <f t="shared" si="54"/>
        <v/>
      </c>
      <c r="BA96" s="555" t="str">
        <f t="shared" si="44"/>
        <v>入力済</v>
      </c>
      <c r="BB96" s="534" t="str">
        <f>IFERROR(VLOOKUP(K96,【参考】数式用!$AX$3:$AY$59, 2, FALSE), "")</f>
        <v/>
      </c>
      <c r="BC96" s="551" t="str">
        <f t="shared" si="55"/>
        <v/>
      </c>
      <c r="BD96" s="555" t="str">
        <f t="shared" si="45"/>
        <v>入力済</v>
      </c>
      <c r="BE96" s="555" t="str">
        <f t="shared" si="56"/>
        <v/>
      </c>
      <c r="BF96" s="555" t="str">
        <f t="shared" si="57"/>
        <v/>
      </c>
      <c r="BG96" s="555" t="str">
        <f t="shared" si="58"/>
        <v/>
      </c>
      <c r="BH96" s="555" t="str">
        <f t="shared" si="46"/>
        <v/>
      </c>
      <c r="BI96" s="555" t="str">
        <f t="shared" si="47"/>
        <v/>
      </c>
      <c r="BL96" t="str">
        <f t="shared" si="59"/>
        <v/>
      </c>
      <c r="BM96" t="str">
        <f t="shared" si="60"/>
        <v/>
      </c>
      <c r="BN96" t="str">
        <f t="shared" si="61"/>
        <v/>
      </c>
      <c r="BO96" s="562" t="str">
        <f>IF(BN96="対象",ROUNDDOWN(L96*VLOOKUP(K96,【参考】数式用!$A$4:$J$42,10,FALSE)*AA96,0),"")</f>
        <v/>
      </c>
      <c r="BP96" t="str">
        <f t="shared" si="62"/>
        <v/>
      </c>
    </row>
    <row r="97" spans="1:68" ht="109.95" customHeight="1" thickBot="1">
      <c r="A97" s="306">
        <v>84</v>
      </c>
      <c r="B97" s="646" t="str">
        <f>IF(基本情報入力シート!B119="","",基本情報入力シート!B119)</f>
        <v/>
      </c>
      <c r="C97" s="647"/>
      <c r="D97" s="647"/>
      <c r="E97" s="647"/>
      <c r="F97" s="648"/>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53" t="str">
        <f>IF(基本情報入力シート!AF119=0, "",基本情報入力シート!AF119)</f>
        <v/>
      </c>
      <c r="M97" s="519" t="str">
        <f>IF('別紙様式2-2（個票（４、５月））'!M97="","",'別紙様式2-2（個票（４、５月））'!M97)</f>
        <v/>
      </c>
      <c r="N97" s="518" t="str">
        <f>IF('別紙様式2-2（個票（４、５月））'!N97="","",'別紙様式2-2（個票（４、５月））'!N97)</f>
        <v/>
      </c>
      <c r="O97" s="289"/>
      <c r="P97" s="549" t="str">
        <f>IFERROR(VLOOKUP(K97,【参考】数式用!$A$2:$M$57,MATCH(O97,【参考】数式用!$G$3:$M$3,0)+6,0),"")</f>
        <v/>
      </c>
      <c r="Q97" s="313" t="s">
        <v>113</v>
      </c>
      <c r="R97" s="311"/>
      <c r="S97" s="312" t="s">
        <v>178</v>
      </c>
      <c r="T97" s="311"/>
      <c r="U97" s="312" t="s">
        <v>179</v>
      </c>
      <c r="V97" s="311"/>
      <c r="W97" s="312" t="s">
        <v>178</v>
      </c>
      <c r="X97" s="311"/>
      <c r="Y97" s="312" t="s">
        <v>180</v>
      </c>
      <c r="Z97" s="312" t="s">
        <v>181</v>
      </c>
      <c r="AA97" s="312" t="str">
        <f t="shared" si="64"/>
        <v/>
      </c>
      <c r="AB97" s="308" t="s">
        <v>182</v>
      </c>
      <c r="AC97" s="309" t="str">
        <f t="shared" si="48"/>
        <v/>
      </c>
      <c r="AD97" s="510" t="str">
        <f t="shared" si="49"/>
        <v/>
      </c>
      <c r="AE97" s="310" t="str">
        <f>IFERROR(ROUNDDOWN(ROUNDDOWN(ROUND(L97*VLOOKUP(K97,【参考】数式用!$A$2:$M$57,MATCH("処遇改善加算Ⅳ",【参考】数式用!$G$3:$M$3,0)+6,0),0),0)*AA97*0.5,0), "")</f>
        <v/>
      </c>
      <c r="AF97" s="321"/>
      <c r="AG97" s="322"/>
      <c r="AH97" s="322"/>
      <c r="AI97" s="321"/>
      <c r="AJ97" s="323"/>
      <c r="AK97" s="329"/>
      <c r="AL97" s="327" t="str">
        <f t="shared" si="38"/>
        <v/>
      </c>
      <c r="AM97" s="328" t="str">
        <f t="shared" si="50"/>
        <v/>
      </c>
      <c r="AN97" s="258"/>
      <c r="AO97" s="551" t="str">
        <f>IFERROR(VLOOKUP(K97,【参考】数式用!$A$2:$N$57,14,FALSE),"")</f>
        <v/>
      </c>
      <c r="AP97" s="551" t="str">
        <f t="shared" si="51"/>
        <v/>
      </c>
      <c r="AQ97" s="556" t="str">
        <f t="shared" si="39"/>
        <v/>
      </c>
      <c r="AR97" s="556" t="str">
        <f t="shared" si="63"/>
        <v>キャリアパス要件Ⅰ・Ⅱ_</v>
      </c>
      <c r="AS97" s="534" t="str">
        <f t="shared" si="40"/>
        <v>入力済</v>
      </c>
      <c r="AT97" s="551" t="str">
        <f t="shared" si="52"/>
        <v/>
      </c>
      <c r="AU97" s="534" t="str">
        <f t="shared" si="41"/>
        <v>入力済</v>
      </c>
      <c r="AV97" s="534" t="str">
        <f t="shared" si="42"/>
        <v/>
      </c>
      <c r="AW97" s="534" t="str">
        <f t="shared" si="53"/>
        <v/>
      </c>
      <c r="AX97" s="551" t="str">
        <f t="shared" si="43"/>
        <v/>
      </c>
      <c r="AY97" s="534" t="str">
        <f>IFERROR(VLOOKUP(K97,【参考】数式用!$AR$3:$AS$49, 2, FALSE), "")</f>
        <v/>
      </c>
      <c r="AZ97" s="551" t="str">
        <f t="shared" si="54"/>
        <v/>
      </c>
      <c r="BA97" s="555" t="str">
        <f t="shared" si="44"/>
        <v>入力済</v>
      </c>
      <c r="BB97" s="534" t="str">
        <f>IFERROR(VLOOKUP(K97,【参考】数式用!$AX$3:$AY$59, 2, FALSE), "")</f>
        <v/>
      </c>
      <c r="BC97" s="551" t="str">
        <f t="shared" si="55"/>
        <v/>
      </c>
      <c r="BD97" s="555" t="str">
        <f t="shared" si="45"/>
        <v>入力済</v>
      </c>
      <c r="BE97" s="555" t="str">
        <f t="shared" si="56"/>
        <v/>
      </c>
      <c r="BF97" s="555" t="str">
        <f t="shared" si="57"/>
        <v/>
      </c>
      <c r="BG97" s="555" t="str">
        <f t="shared" si="58"/>
        <v/>
      </c>
      <c r="BH97" s="555" t="str">
        <f t="shared" si="46"/>
        <v/>
      </c>
      <c r="BI97" s="555" t="str">
        <f t="shared" si="47"/>
        <v/>
      </c>
      <c r="BL97" t="str">
        <f t="shared" si="59"/>
        <v/>
      </c>
      <c r="BM97" t="str">
        <f t="shared" si="60"/>
        <v/>
      </c>
      <c r="BN97" t="str">
        <f t="shared" si="61"/>
        <v/>
      </c>
      <c r="BO97" s="562" t="str">
        <f>IF(BN97="対象",ROUNDDOWN(L97*VLOOKUP(K97,【参考】数式用!$A$4:$J$42,10,FALSE)*AA97,0),"")</f>
        <v/>
      </c>
      <c r="BP97" t="str">
        <f t="shared" si="62"/>
        <v/>
      </c>
    </row>
    <row r="98" spans="1:68" ht="109.95" customHeight="1" thickBot="1">
      <c r="A98" s="306">
        <v>85</v>
      </c>
      <c r="B98" s="646" t="str">
        <f>IF(基本情報入力シート!B120="","",基本情報入力シート!B120)</f>
        <v/>
      </c>
      <c r="C98" s="647"/>
      <c r="D98" s="647"/>
      <c r="E98" s="647"/>
      <c r="F98" s="648"/>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53" t="str">
        <f>IF(基本情報入力シート!AF120=0, "",基本情報入力シート!AF120)</f>
        <v/>
      </c>
      <c r="M98" s="519" t="str">
        <f>IF('別紙様式2-2（個票（４、５月））'!M98="","",'別紙様式2-2（個票（４、５月））'!M98)</f>
        <v/>
      </c>
      <c r="N98" s="518" t="str">
        <f>IF('別紙様式2-2（個票（４、５月））'!N98="","",'別紙様式2-2（個票（４、５月））'!N98)</f>
        <v/>
      </c>
      <c r="O98" s="289"/>
      <c r="P98" s="549" t="str">
        <f>IFERROR(VLOOKUP(K98,【参考】数式用!$A$2:$M$57,MATCH(O98,【参考】数式用!$G$3:$M$3,0)+6,0),"")</f>
        <v/>
      </c>
      <c r="Q98" s="313" t="s">
        <v>113</v>
      </c>
      <c r="R98" s="311"/>
      <c r="S98" s="312" t="s">
        <v>178</v>
      </c>
      <c r="T98" s="311"/>
      <c r="U98" s="312" t="s">
        <v>179</v>
      </c>
      <c r="V98" s="311"/>
      <c r="W98" s="312" t="s">
        <v>178</v>
      </c>
      <c r="X98" s="311"/>
      <c r="Y98" s="312" t="s">
        <v>115</v>
      </c>
      <c r="Z98" s="312" t="s">
        <v>181</v>
      </c>
      <c r="AA98" s="312" t="str">
        <f t="shared" si="64"/>
        <v/>
      </c>
      <c r="AB98" s="308" t="s">
        <v>182</v>
      </c>
      <c r="AC98" s="309" t="str">
        <f t="shared" si="48"/>
        <v/>
      </c>
      <c r="AD98" s="510" t="str">
        <f t="shared" si="49"/>
        <v/>
      </c>
      <c r="AE98" s="310" t="str">
        <f>IFERROR(ROUNDDOWN(ROUNDDOWN(ROUND(L98*VLOOKUP(K98,【参考】数式用!$A$2:$M$57,MATCH("処遇改善加算Ⅳ",【参考】数式用!$G$3:$M$3,0)+6,0),0),0)*AA98*0.5,0), "")</f>
        <v/>
      </c>
      <c r="AF98" s="321"/>
      <c r="AG98" s="322"/>
      <c r="AH98" s="322"/>
      <c r="AI98" s="321"/>
      <c r="AJ98" s="323"/>
      <c r="AK98" s="329"/>
      <c r="AL98" s="327" t="str">
        <f t="shared" si="38"/>
        <v/>
      </c>
      <c r="AM98" s="328" t="str">
        <f t="shared" si="50"/>
        <v/>
      </c>
      <c r="AN98" s="258"/>
      <c r="AO98" s="551" t="str">
        <f>IFERROR(VLOOKUP(K98,【参考】数式用!$A$2:$N$57,14,FALSE),"")</f>
        <v/>
      </c>
      <c r="AP98" s="551" t="str">
        <f t="shared" si="51"/>
        <v/>
      </c>
      <c r="AQ98" s="556" t="str">
        <f t="shared" si="39"/>
        <v/>
      </c>
      <c r="AR98" s="556" t="str">
        <f t="shared" si="63"/>
        <v>キャリアパス要件Ⅰ・Ⅱ_</v>
      </c>
      <c r="AS98" s="534" t="str">
        <f t="shared" si="40"/>
        <v>入力済</v>
      </c>
      <c r="AT98" s="551" t="str">
        <f t="shared" si="52"/>
        <v/>
      </c>
      <c r="AU98" s="534" t="str">
        <f t="shared" si="41"/>
        <v>入力済</v>
      </c>
      <c r="AV98" s="534" t="str">
        <f t="shared" si="42"/>
        <v/>
      </c>
      <c r="AW98" s="534" t="str">
        <f t="shared" si="53"/>
        <v/>
      </c>
      <c r="AX98" s="551" t="str">
        <f t="shared" si="43"/>
        <v/>
      </c>
      <c r="AY98" s="534" t="str">
        <f>IFERROR(VLOOKUP(K98,【参考】数式用!$AR$3:$AS$49, 2, FALSE), "")</f>
        <v/>
      </c>
      <c r="AZ98" s="551" t="str">
        <f t="shared" si="54"/>
        <v/>
      </c>
      <c r="BA98" s="555" t="str">
        <f t="shared" si="44"/>
        <v>入力済</v>
      </c>
      <c r="BB98" s="534" t="str">
        <f>IFERROR(VLOOKUP(K98,【参考】数式用!$AX$3:$AY$59, 2, FALSE), "")</f>
        <v/>
      </c>
      <c r="BC98" s="551" t="str">
        <f t="shared" si="55"/>
        <v/>
      </c>
      <c r="BD98" s="555" t="str">
        <f t="shared" si="45"/>
        <v>入力済</v>
      </c>
      <c r="BE98" s="555" t="str">
        <f t="shared" si="56"/>
        <v/>
      </c>
      <c r="BF98" s="555" t="str">
        <f t="shared" si="57"/>
        <v/>
      </c>
      <c r="BG98" s="555" t="str">
        <f t="shared" si="58"/>
        <v/>
      </c>
      <c r="BH98" s="555" t="str">
        <f t="shared" si="46"/>
        <v/>
      </c>
      <c r="BI98" s="555" t="str">
        <f t="shared" si="47"/>
        <v/>
      </c>
      <c r="BL98" t="str">
        <f t="shared" si="59"/>
        <v/>
      </c>
      <c r="BM98" t="str">
        <f t="shared" si="60"/>
        <v/>
      </c>
      <c r="BN98" t="str">
        <f t="shared" si="61"/>
        <v/>
      </c>
      <c r="BO98" s="562" t="str">
        <f>IF(BN98="対象",ROUNDDOWN(L98*VLOOKUP(K98,【参考】数式用!$A$4:$J$42,10,FALSE)*AA98,0),"")</f>
        <v/>
      </c>
      <c r="BP98" t="str">
        <f t="shared" si="62"/>
        <v/>
      </c>
    </row>
    <row r="99" spans="1:68" ht="109.95" customHeight="1" thickBot="1">
      <c r="A99" s="306">
        <v>86</v>
      </c>
      <c r="B99" s="646" t="str">
        <f>IF(基本情報入力シート!B121="","",基本情報入力シート!B121)</f>
        <v/>
      </c>
      <c r="C99" s="647"/>
      <c r="D99" s="647"/>
      <c r="E99" s="647"/>
      <c r="F99" s="648"/>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53" t="str">
        <f>IF(基本情報入力シート!AF121=0, "",基本情報入力シート!AF121)</f>
        <v/>
      </c>
      <c r="M99" s="519" t="str">
        <f>IF('別紙様式2-2（個票（４、５月））'!M99="","",'別紙様式2-2（個票（４、５月））'!M99)</f>
        <v/>
      </c>
      <c r="N99" s="518" t="str">
        <f>IF('別紙様式2-2（個票（４、５月））'!N99="","",'別紙様式2-2（個票（４、５月））'!N99)</f>
        <v/>
      </c>
      <c r="O99" s="289"/>
      <c r="P99" s="549" t="str">
        <f>IFERROR(VLOOKUP(K99,【参考】数式用!$A$2:$M$57,MATCH(O99,【参考】数式用!$G$3:$M$3,0)+6,0),"")</f>
        <v/>
      </c>
      <c r="Q99" s="313" t="s">
        <v>113</v>
      </c>
      <c r="R99" s="311"/>
      <c r="S99" s="312" t="s">
        <v>178</v>
      </c>
      <c r="T99" s="311"/>
      <c r="U99" s="312" t="s">
        <v>179</v>
      </c>
      <c r="V99" s="311"/>
      <c r="W99" s="312" t="s">
        <v>178</v>
      </c>
      <c r="X99" s="311"/>
      <c r="Y99" s="312" t="s">
        <v>115</v>
      </c>
      <c r="Z99" s="312" t="s">
        <v>181</v>
      </c>
      <c r="AA99" s="312" t="str">
        <f t="shared" si="64"/>
        <v/>
      </c>
      <c r="AB99" s="308" t="s">
        <v>182</v>
      </c>
      <c r="AC99" s="309" t="str">
        <f t="shared" si="48"/>
        <v/>
      </c>
      <c r="AD99" s="510" t="str">
        <f t="shared" si="49"/>
        <v/>
      </c>
      <c r="AE99" s="310" t="str">
        <f>IFERROR(ROUNDDOWN(ROUNDDOWN(ROUND(L99*VLOOKUP(K99,【参考】数式用!$A$2:$M$57,MATCH("処遇改善加算Ⅳ",【参考】数式用!$G$3:$M$3,0)+6,0),0),0)*AA99*0.5,0), "")</f>
        <v/>
      </c>
      <c r="AF99" s="321"/>
      <c r="AG99" s="322"/>
      <c r="AH99" s="322"/>
      <c r="AI99" s="321"/>
      <c r="AJ99" s="323"/>
      <c r="AK99" s="329"/>
      <c r="AL99" s="327" t="str">
        <f t="shared" si="38"/>
        <v/>
      </c>
      <c r="AM99" s="328" t="str">
        <f t="shared" si="50"/>
        <v/>
      </c>
      <c r="AN99" s="258"/>
      <c r="AO99" s="551" t="str">
        <f>IFERROR(VLOOKUP(K99,【参考】数式用!$A$2:$N$57,14,FALSE),"")</f>
        <v/>
      </c>
      <c r="AP99" s="551" t="str">
        <f t="shared" si="51"/>
        <v/>
      </c>
      <c r="AQ99" s="556" t="str">
        <f t="shared" si="39"/>
        <v/>
      </c>
      <c r="AR99" s="556" t="str">
        <f t="shared" si="63"/>
        <v>キャリアパス要件Ⅰ・Ⅱ_</v>
      </c>
      <c r="AS99" s="534" t="str">
        <f t="shared" si="40"/>
        <v>入力済</v>
      </c>
      <c r="AT99" s="551" t="str">
        <f t="shared" si="52"/>
        <v/>
      </c>
      <c r="AU99" s="534" t="str">
        <f t="shared" si="41"/>
        <v>入力済</v>
      </c>
      <c r="AV99" s="534" t="str">
        <f t="shared" si="42"/>
        <v/>
      </c>
      <c r="AW99" s="534" t="str">
        <f t="shared" si="53"/>
        <v/>
      </c>
      <c r="AX99" s="551" t="str">
        <f t="shared" si="43"/>
        <v/>
      </c>
      <c r="AY99" s="534" t="str">
        <f>IFERROR(VLOOKUP(K99,【参考】数式用!$AR$3:$AS$49, 2, FALSE), "")</f>
        <v/>
      </c>
      <c r="AZ99" s="551" t="str">
        <f t="shared" si="54"/>
        <v/>
      </c>
      <c r="BA99" s="555" t="str">
        <f t="shared" si="44"/>
        <v>入力済</v>
      </c>
      <c r="BB99" s="534" t="str">
        <f>IFERROR(VLOOKUP(K99,【参考】数式用!$AX$3:$AY$59, 2, FALSE), "")</f>
        <v/>
      </c>
      <c r="BC99" s="551" t="str">
        <f t="shared" si="55"/>
        <v/>
      </c>
      <c r="BD99" s="555" t="str">
        <f t="shared" si="45"/>
        <v>入力済</v>
      </c>
      <c r="BE99" s="555" t="str">
        <f t="shared" si="56"/>
        <v/>
      </c>
      <c r="BF99" s="555" t="str">
        <f t="shared" si="57"/>
        <v/>
      </c>
      <c r="BG99" s="555" t="str">
        <f t="shared" si="58"/>
        <v/>
      </c>
      <c r="BH99" s="555" t="str">
        <f t="shared" si="46"/>
        <v/>
      </c>
      <c r="BI99" s="555" t="str">
        <f t="shared" si="47"/>
        <v/>
      </c>
      <c r="BL99" t="str">
        <f t="shared" si="59"/>
        <v/>
      </c>
      <c r="BM99" t="str">
        <f t="shared" si="60"/>
        <v/>
      </c>
      <c r="BN99" t="str">
        <f t="shared" si="61"/>
        <v/>
      </c>
      <c r="BO99" s="562" t="str">
        <f>IF(BN99="対象",ROUNDDOWN(L99*VLOOKUP(K99,【参考】数式用!$A$4:$J$42,10,FALSE)*AA99,0),"")</f>
        <v/>
      </c>
      <c r="BP99" t="str">
        <f t="shared" si="62"/>
        <v/>
      </c>
    </row>
    <row r="100" spans="1:68" ht="109.95" customHeight="1" thickBot="1">
      <c r="A100" s="306">
        <v>87</v>
      </c>
      <c r="B100" s="646" t="str">
        <f>IF(基本情報入力シート!B122="","",基本情報入力シート!B122)</f>
        <v/>
      </c>
      <c r="C100" s="647"/>
      <c r="D100" s="647"/>
      <c r="E100" s="647"/>
      <c r="F100" s="648"/>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53" t="str">
        <f>IF(基本情報入力シート!AF122=0, "",基本情報入力シート!AF122)</f>
        <v/>
      </c>
      <c r="M100" s="519" t="str">
        <f>IF('別紙様式2-2（個票（４、５月））'!M100="","",'別紙様式2-2（個票（４、５月））'!M100)</f>
        <v/>
      </c>
      <c r="N100" s="518" t="str">
        <f>IF('別紙様式2-2（個票（４、５月））'!N100="","",'別紙様式2-2（個票（４、５月））'!N100)</f>
        <v/>
      </c>
      <c r="O100" s="289"/>
      <c r="P100" s="549" t="str">
        <f>IFERROR(VLOOKUP(K100,【参考】数式用!$A$2:$M$57,MATCH(O100,【参考】数式用!$G$3:$M$3,0)+6,0),"")</f>
        <v/>
      </c>
      <c r="Q100" s="313" t="s">
        <v>113</v>
      </c>
      <c r="R100" s="311"/>
      <c r="S100" s="312" t="s">
        <v>178</v>
      </c>
      <c r="T100" s="311"/>
      <c r="U100" s="312" t="s">
        <v>179</v>
      </c>
      <c r="V100" s="311"/>
      <c r="W100" s="312" t="s">
        <v>178</v>
      </c>
      <c r="X100" s="311"/>
      <c r="Y100" s="312" t="s">
        <v>180</v>
      </c>
      <c r="Z100" s="312" t="s">
        <v>181</v>
      </c>
      <c r="AA100" s="312" t="str">
        <f t="shared" si="64"/>
        <v/>
      </c>
      <c r="AB100" s="308" t="s">
        <v>182</v>
      </c>
      <c r="AC100" s="309" t="str">
        <f t="shared" si="48"/>
        <v/>
      </c>
      <c r="AD100" s="510" t="str">
        <f t="shared" si="49"/>
        <v/>
      </c>
      <c r="AE100" s="310" t="str">
        <f>IFERROR(ROUNDDOWN(ROUNDDOWN(ROUND(L100*VLOOKUP(K100,【参考】数式用!$A$2:$M$57,MATCH("処遇改善加算Ⅳ",【参考】数式用!$G$3:$M$3,0)+6,0),0),0)*AA100*0.5,0), "")</f>
        <v/>
      </c>
      <c r="AF100" s="321"/>
      <c r="AG100" s="322"/>
      <c r="AH100" s="322"/>
      <c r="AI100" s="321"/>
      <c r="AJ100" s="323"/>
      <c r="AK100" s="329"/>
      <c r="AL100" s="327" t="str">
        <f t="shared" si="38"/>
        <v/>
      </c>
      <c r="AM100" s="328" t="str">
        <f t="shared" si="50"/>
        <v/>
      </c>
      <c r="AN100" s="258"/>
      <c r="AO100" s="551" t="str">
        <f>IFERROR(VLOOKUP(K100,【参考】数式用!$A$2:$N$57,14,FALSE),"")</f>
        <v/>
      </c>
      <c r="AP100" s="551" t="str">
        <f t="shared" si="51"/>
        <v/>
      </c>
      <c r="AQ100" s="556" t="str">
        <f t="shared" si="39"/>
        <v/>
      </c>
      <c r="AR100" s="556" t="str">
        <f t="shared" si="63"/>
        <v>キャリアパス要件Ⅰ・Ⅱ_</v>
      </c>
      <c r="AS100" s="534" t="str">
        <f t="shared" si="40"/>
        <v>入力済</v>
      </c>
      <c r="AT100" s="551" t="str">
        <f t="shared" si="52"/>
        <v/>
      </c>
      <c r="AU100" s="534" t="str">
        <f t="shared" si="41"/>
        <v>入力済</v>
      </c>
      <c r="AV100" s="534" t="str">
        <f t="shared" si="42"/>
        <v/>
      </c>
      <c r="AW100" s="534" t="str">
        <f t="shared" si="53"/>
        <v/>
      </c>
      <c r="AX100" s="551" t="str">
        <f t="shared" si="43"/>
        <v/>
      </c>
      <c r="AY100" s="534" t="str">
        <f>IFERROR(VLOOKUP(K100,【参考】数式用!$AR$3:$AS$49, 2, FALSE), "")</f>
        <v/>
      </c>
      <c r="AZ100" s="551" t="str">
        <f t="shared" si="54"/>
        <v/>
      </c>
      <c r="BA100" s="555" t="str">
        <f t="shared" si="44"/>
        <v>入力済</v>
      </c>
      <c r="BB100" s="534" t="str">
        <f>IFERROR(VLOOKUP(K100,【参考】数式用!$AX$3:$AY$59, 2, FALSE), "")</f>
        <v/>
      </c>
      <c r="BC100" s="551" t="str">
        <f t="shared" si="55"/>
        <v/>
      </c>
      <c r="BD100" s="555" t="str">
        <f t="shared" si="45"/>
        <v>入力済</v>
      </c>
      <c r="BE100" s="555" t="str">
        <f t="shared" si="56"/>
        <v/>
      </c>
      <c r="BF100" s="555" t="str">
        <f t="shared" si="57"/>
        <v/>
      </c>
      <c r="BG100" s="555" t="str">
        <f t="shared" si="58"/>
        <v/>
      </c>
      <c r="BH100" s="555" t="str">
        <f t="shared" si="46"/>
        <v/>
      </c>
      <c r="BI100" s="555" t="str">
        <f t="shared" si="47"/>
        <v/>
      </c>
      <c r="BL100" t="str">
        <f t="shared" si="59"/>
        <v/>
      </c>
      <c r="BM100" t="str">
        <f t="shared" si="60"/>
        <v/>
      </c>
      <c r="BN100" t="str">
        <f t="shared" si="61"/>
        <v/>
      </c>
      <c r="BO100" s="562" t="str">
        <f>IF(BN100="対象",ROUNDDOWN(L100*VLOOKUP(K100,【参考】数式用!$A$4:$J$42,10,FALSE)*AA100,0),"")</f>
        <v/>
      </c>
      <c r="BP100" t="str">
        <f t="shared" si="62"/>
        <v/>
      </c>
    </row>
    <row r="101" spans="1:68" ht="109.95" customHeight="1" thickBot="1">
      <c r="A101" s="306">
        <v>88</v>
      </c>
      <c r="B101" s="646" t="str">
        <f>IF(基本情報入力シート!B123="","",基本情報入力シート!B123)</f>
        <v/>
      </c>
      <c r="C101" s="647"/>
      <c r="D101" s="647"/>
      <c r="E101" s="647"/>
      <c r="F101" s="648"/>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53" t="str">
        <f>IF(基本情報入力シート!AF123=0, "",基本情報入力シート!AF123)</f>
        <v/>
      </c>
      <c r="M101" s="519" t="str">
        <f>IF('別紙様式2-2（個票（４、５月））'!M101="","",'別紙様式2-2（個票（４、５月））'!M101)</f>
        <v/>
      </c>
      <c r="N101" s="518" t="str">
        <f>IF('別紙様式2-2（個票（４、５月））'!N101="","",'別紙様式2-2（個票（４、５月））'!N101)</f>
        <v/>
      </c>
      <c r="O101" s="289"/>
      <c r="P101" s="549" t="str">
        <f>IFERROR(VLOOKUP(K101,【参考】数式用!$A$2:$M$57,MATCH(O101,【参考】数式用!$G$3:$M$3,0)+6,0),"")</f>
        <v/>
      </c>
      <c r="Q101" s="313" t="s">
        <v>113</v>
      </c>
      <c r="R101" s="311"/>
      <c r="S101" s="312" t="s">
        <v>178</v>
      </c>
      <c r="T101" s="311"/>
      <c r="U101" s="312" t="s">
        <v>179</v>
      </c>
      <c r="V101" s="311"/>
      <c r="W101" s="312" t="s">
        <v>178</v>
      </c>
      <c r="X101" s="311"/>
      <c r="Y101" s="312" t="s">
        <v>180</v>
      </c>
      <c r="Z101" s="312" t="s">
        <v>181</v>
      </c>
      <c r="AA101" s="312" t="str">
        <f t="shared" si="64"/>
        <v/>
      </c>
      <c r="AB101" s="308" t="s">
        <v>182</v>
      </c>
      <c r="AC101" s="309" t="str">
        <f t="shared" si="48"/>
        <v/>
      </c>
      <c r="AD101" s="510" t="str">
        <f t="shared" si="49"/>
        <v/>
      </c>
      <c r="AE101" s="310" t="str">
        <f>IFERROR(ROUNDDOWN(ROUNDDOWN(ROUND(L101*VLOOKUP(K101,【参考】数式用!$A$2:$M$57,MATCH("処遇改善加算Ⅳ",【参考】数式用!$G$3:$M$3,0)+6,0),0),0)*AA101*0.5,0), "")</f>
        <v/>
      </c>
      <c r="AF101" s="321"/>
      <c r="AG101" s="322"/>
      <c r="AH101" s="322"/>
      <c r="AI101" s="321"/>
      <c r="AJ101" s="323"/>
      <c r="AK101" s="329"/>
      <c r="AL101" s="327" t="str">
        <f t="shared" si="38"/>
        <v/>
      </c>
      <c r="AM101" s="328" t="str">
        <f t="shared" si="50"/>
        <v/>
      </c>
      <c r="AN101" s="258"/>
      <c r="AO101" s="551" t="str">
        <f>IFERROR(VLOOKUP(K101,【参考】数式用!$A$2:$N$57,14,FALSE),"")</f>
        <v/>
      </c>
      <c r="AP101" s="551" t="str">
        <f t="shared" si="51"/>
        <v/>
      </c>
      <c r="AQ101" s="556" t="str">
        <f t="shared" si="39"/>
        <v/>
      </c>
      <c r="AR101" s="556" t="str">
        <f t="shared" si="63"/>
        <v>キャリアパス要件Ⅰ・Ⅱ_</v>
      </c>
      <c r="AS101" s="534" t="str">
        <f t="shared" si="40"/>
        <v>入力済</v>
      </c>
      <c r="AT101" s="551" t="str">
        <f t="shared" si="52"/>
        <v/>
      </c>
      <c r="AU101" s="534" t="str">
        <f t="shared" si="41"/>
        <v>入力済</v>
      </c>
      <c r="AV101" s="534" t="str">
        <f t="shared" si="42"/>
        <v/>
      </c>
      <c r="AW101" s="534" t="str">
        <f t="shared" si="53"/>
        <v/>
      </c>
      <c r="AX101" s="551" t="str">
        <f t="shared" si="43"/>
        <v/>
      </c>
      <c r="AY101" s="534" t="str">
        <f>IFERROR(VLOOKUP(K101,【参考】数式用!$AR$3:$AS$49, 2, FALSE), "")</f>
        <v/>
      </c>
      <c r="AZ101" s="551" t="str">
        <f t="shared" si="54"/>
        <v/>
      </c>
      <c r="BA101" s="555" t="str">
        <f t="shared" si="44"/>
        <v>入力済</v>
      </c>
      <c r="BB101" s="534" t="str">
        <f>IFERROR(VLOOKUP(K101,【参考】数式用!$AX$3:$AY$59, 2, FALSE), "")</f>
        <v/>
      </c>
      <c r="BC101" s="551" t="str">
        <f t="shared" si="55"/>
        <v/>
      </c>
      <c r="BD101" s="555" t="str">
        <f t="shared" si="45"/>
        <v>入力済</v>
      </c>
      <c r="BE101" s="555" t="str">
        <f t="shared" si="56"/>
        <v/>
      </c>
      <c r="BF101" s="555" t="str">
        <f t="shared" si="57"/>
        <v/>
      </c>
      <c r="BG101" s="555" t="str">
        <f t="shared" si="58"/>
        <v/>
      </c>
      <c r="BH101" s="555" t="str">
        <f t="shared" si="46"/>
        <v/>
      </c>
      <c r="BI101" s="555" t="str">
        <f t="shared" si="47"/>
        <v/>
      </c>
      <c r="BL101" t="str">
        <f t="shared" si="59"/>
        <v/>
      </c>
      <c r="BM101" t="str">
        <f t="shared" si="60"/>
        <v/>
      </c>
      <c r="BN101" t="str">
        <f t="shared" si="61"/>
        <v/>
      </c>
      <c r="BO101" s="562" t="str">
        <f>IF(BN101="対象",ROUNDDOWN(L101*VLOOKUP(K101,【参考】数式用!$A$4:$J$42,10,FALSE)*AA101,0),"")</f>
        <v/>
      </c>
      <c r="BP101" t="str">
        <f t="shared" si="62"/>
        <v/>
      </c>
    </row>
    <row r="102" spans="1:68" ht="109.95" customHeight="1" thickBot="1">
      <c r="A102" s="306">
        <v>89</v>
      </c>
      <c r="B102" s="646" t="str">
        <f>IF(基本情報入力シート!B124="","",基本情報入力シート!B124)</f>
        <v/>
      </c>
      <c r="C102" s="647"/>
      <c r="D102" s="647"/>
      <c r="E102" s="647"/>
      <c r="F102" s="648"/>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53" t="str">
        <f>IF(基本情報入力シート!AF124=0, "",基本情報入力シート!AF124)</f>
        <v/>
      </c>
      <c r="M102" s="519" t="str">
        <f>IF('別紙様式2-2（個票（４、５月））'!M102="","",'別紙様式2-2（個票（４、５月））'!M102)</f>
        <v/>
      </c>
      <c r="N102" s="518" t="str">
        <f>IF('別紙様式2-2（個票（４、５月））'!N102="","",'別紙様式2-2（個票（４、５月））'!N102)</f>
        <v/>
      </c>
      <c r="O102" s="289"/>
      <c r="P102" s="549" t="str">
        <f>IFERROR(VLOOKUP(K102,【参考】数式用!$A$2:$M$57,MATCH(O102,【参考】数式用!$G$3:$M$3,0)+6,0),"")</f>
        <v/>
      </c>
      <c r="Q102" s="313" t="s">
        <v>113</v>
      </c>
      <c r="R102" s="311"/>
      <c r="S102" s="312" t="s">
        <v>178</v>
      </c>
      <c r="T102" s="311"/>
      <c r="U102" s="312" t="s">
        <v>179</v>
      </c>
      <c r="V102" s="311"/>
      <c r="W102" s="312" t="s">
        <v>178</v>
      </c>
      <c r="X102" s="311"/>
      <c r="Y102" s="312" t="s">
        <v>180</v>
      </c>
      <c r="Z102" s="312" t="s">
        <v>181</v>
      </c>
      <c r="AA102" s="312" t="str">
        <f t="shared" si="64"/>
        <v/>
      </c>
      <c r="AB102" s="308" t="s">
        <v>182</v>
      </c>
      <c r="AC102" s="309" t="str">
        <f t="shared" si="48"/>
        <v/>
      </c>
      <c r="AD102" s="510" t="str">
        <f t="shared" si="49"/>
        <v/>
      </c>
      <c r="AE102" s="310" t="str">
        <f>IFERROR(ROUNDDOWN(ROUNDDOWN(ROUND(L102*VLOOKUP(K102,【参考】数式用!$A$2:$M$57,MATCH("処遇改善加算Ⅳ",【参考】数式用!$G$3:$M$3,0)+6,0),0),0)*AA102*0.5,0), "")</f>
        <v/>
      </c>
      <c r="AF102" s="321"/>
      <c r="AG102" s="322"/>
      <c r="AH102" s="322"/>
      <c r="AI102" s="321"/>
      <c r="AJ102" s="323"/>
      <c r="AK102" s="329"/>
      <c r="AL102" s="327" t="str">
        <f t="shared" si="38"/>
        <v/>
      </c>
      <c r="AM102" s="328" t="str">
        <f t="shared" si="50"/>
        <v/>
      </c>
      <c r="AN102" s="258"/>
      <c r="AO102" s="551" t="str">
        <f>IFERROR(VLOOKUP(K102,【参考】数式用!$A$2:$N$57,14,FALSE),"")</f>
        <v/>
      </c>
      <c r="AP102" s="551" t="str">
        <f t="shared" si="51"/>
        <v/>
      </c>
      <c r="AQ102" s="556" t="str">
        <f t="shared" si="39"/>
        <v/>
      </c>
      <c r="AR102" s="556" t="str">
        <f t="shared" si="63"/>
        <v>キャリアパス要件Ⅰ・Ⅱ_</v>
      </c>
      <c r="AS102" s="534" t="str">
        <f t="shared" si="40"/>
        <v>入力済</v>
      </c>
      <c r="AT102" s="551" t="str">
        <f t="shared" si="52"/>
        <v/>
      </c>
      <c r="AU102" s="534" t="str">
        <f t="shared" si="41"/>
        <v>入力済</v>
      </c>
      <c r="AV102" s="534" t="str">
        <f t="shared" si="42"/>
        <v/>
      </c>
      <c r="AW102" s="534" t="str">
        <f t="shared" si="53"/>
        <v/>
      </c>
      <c r="AX102" s="551" t="str">
        <f t="shared" si="43"/>
        <v/>
      </c>
      <c r="AY102" s="534" t="str">
        <f>IFERROR(VLOOKUP(K102,【参考】数式用!$AR$3:$AS$49, 2, FALSE), "")</f>
        <v/>
      </c>
      <c r="AZ102" s="551" t="str">
        <f t="shared" si="54"/>
        <v/>
      </c>
      <c r="BA102" s="555" t="str">
        <f t="shared" si="44"/>
        <v>入力済</v>
      </c>
      <c r="BB102" s="534" t="str">
        <f>IFERROR(VLOOKUP(K102,【参考】数式用!$AX$3:$AY$59, 2, FALSE), "")</f>
        <v/>
      </c>
      <c r="BC102" s="551" t="str">
        <f t="shared" si="55"/>
        <v/>
      </c>
      <c r="BD102" s="555" t="str">
        <f t="shared" si="45"/>
        <v>入力済</v>
      </c>
      <c r="BE102" s="555" t="str">
        <f t="shared" si="56"/>
        <v/>
      </c>
      <c r="BF102" s="555" t="str">
        <f t="shared" si="57"/>
        <v/>
      </c>
      <c r="BG102" s="555" t="str">
        <f t="shared" si="58"/>
        <v/>
      </c>
      <c r="BH102" s="555" t="str">
        <f t="shared" si="46"/>
        <v/>
      </c>
      <c r="BI102" s="555" t="str">
        <f t="shared" si="47"/>
        <v/>
      </c>
      <c r="BL102" t="str">
        <f t="shared" si="59"/>
        <v/>
      </c>
      <c r="BM102" t="str">
        <f t="shared" si="60"/>
        <v/>
      </c>
      <c r="BN102" t="str">
        <f t="shared" si="61"/>
        <v/>
      </c>
      <c r="BO102" s="562" t="str">
        <f>IF(BN102="対象",ROUNDDOWN(L102*VLOOKUP(K102,【参考】数式用!$A$4:$J$42,10,FALSE)*AA102,0),"")</f>
        <v/>
      </c>
      <c r="BP102" t="str">
        <f t="shared" si="62"/>
        <v/>
      </c>
    </row>
    <row r="103" spans="1:68" ht="109.95" customHeight="1" thickBot="1">
      <c r="A103" s="306">
        <v>90</v>
      </c>
      <c r="B103" s="646" t="str">
        <f>IF(基本情報入力シート!B125="","",基本情報入力シート!B125)</f>
        <v/>
      </c>
      <c r="C103" s="647"/>
      <c r="D103" s="647"/>
      <c r="E103" s="647"/>
      <c r="F103" s="648"/>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53" t="str">
        <f>IF(基本情報入力シート!AF125=0, "",基本情報入力シート!AF125)</f>
        <v/>
      </c>
      <c r="M103" s="519" t="str">
        <f>IF('別紙様式2-2（個票（４、５月））'!M103="","",'別紙様式2-2（個票（４、５月））'!M103)</f>
        <v/>
      </c>
      <c r="N103" s="518" t="str">
        <f>IF('別紙様式2-2（個票（４、５月））'!N103="","",'別紙様式2-2（個票（４、５月））'!N103)</f>
        <v/>
      </c>
      <c r="O103" s="289"/>
      <c r="P103" s="549" t="str">
        <f>IFERROR(VLOOKUP(K103,【参考】数式用!$A$2:$M$57,MATCH(O103,【参考】数式用!$G$3:$M$3,0)+6,0),"")</f>
        <v/>
      </c>
      <c r="Q103" s="313" t="s">
        <v>113</v>
      </c>
      <c r="R103" s="311"/>
      <c r="S103" s="312" t="s">
        <v>178</v>
      </c>
      <c r="T103" s="311"/>
      <c r="U103" s="312" t="s">
        <v>179</v>
      </c>
      <c r="V103" s="311"/>
      <c r="W103" s="312" t="s">
        <v>178</v>
      </c>
      <c r="X103" s="311"/>
      <c r="Y103" s="312" t="s">
        <v>115</v>
      </c>
      <c r="Z103" s="312" t="s">
        <v>181</v>
      </c>
      <c r="AA103" s="312" t="str">
        <f t="shared" si="64"/>
        <v/>
      </c>
      <c r="AB103" s="308" t="s">
        <v>182</v>
      </c>
      <c r="AC103" s="309" t="str">
        <f t="shared" si="48"/>
        <v/>
      </c>
      <c r="AD103" s="510" t="str">
        <f t="shared" si="49"/>
        <v/>
      </c>
      <c r="AE103" s="310" t="str">
        <f>IFERROR(ROUNDDOWN(ROUNDDOWN(ROUND(L103*VLOOKUP(K103,【参考】数式用!$A$2:$M$57,MATCH("処遇改善加算Ⅳ",【参考】数式用!$G$3:$M$3,0)+6,0),0),0)*AA103*0.5,0), "")</f>
        <v/>
      </c>
      <c r="AF103" s="321"/>
      <c r="AG103" s="322"/>
      <c r="AH103" s="322"/>
      <c r="AI103" s="321"/>
      <c r="AJ103" s="323"/>
      <c r="AK103" s="329"/>
      <c r="AL103" s="327" t="str">
        <f t="shared" si="38"/>
        <v/>
      </c>
      <c r="AM103" s="328" t="str">
        <f t="shared" si="50"/>
        <v/>
      </c>
      <c r="AN103" s="258"/>
      <c r="AO103" s="551" t="str">
        <f>IFERROR(VLOOKUP(K103,【参考】数式用!$A$2:$N$57,14,FALSE),"")</f>
        <v/>
      </c>
      <c r="AP103" s="551" t="str">
        <f t="shared" si="51"/>
        <v/>
      </c>
      <c r="AQ103" s="556" t="str">
        <f t="shared" si="39"/>
        <v/>
      </c>
      <c r="AR103" s="556" t="str">
        <f t="shared" si="63"/>
        <v>キャリアパス要件Ⅰ・Ⅱ_</v>
      </c>
      <c r="AS103" s="534" t="str">
        <f t="shared" si="40"/>
        <v>入力済</v>
      </c>
      <c r="AT103" s="551" t="str">
        <f t="shared" si="52"/>
        <v/>
      </c>
      <c r="AU103" s="534" t="str">
        <f t="shared" si="41"/>
        <v>入力済</v>
      </c>
      <c r="AV103" s="534" t="str">
        <f t="shared" si="42"/>
        <v/>
      </c>
      <c r="AW103" s="534" t="str">
        <f t="shared" si="53"/>
        <v/>
      </c>
      <c r="AX103" s="551" t="str">
        <f t="shared" si="43"/>
        <v/>
      </c>
      <c r="AY103" s="534" t="str">
        <f>IFERROR(VLOOKUP(K103,【参考】数式用!$AR$3:$AS$49, 2, FALSE), "")</f>
        <v/>
      </c>
      <c r="AZ103" s="551" t="str">
        <f t="shared" si="54"/>
        <v/>
      </c>
      <c r="BA103" s="555" t="str">
        <f t="shared" si="44"/>
        <v>入力済</v>
      </c>
      <c r="BB103" s="534" t="str">
        <f>IFERROR(VLOOKUP(K103,【参考】数式用!$AX$3:$AY$59, 2, FALSE), "")</f>
        <v/>
      </c>
      <c r="BC103" s="551" t="str">
        <f t="shared" si="55"/>
        <v/>
      </c>
      <c r="BD103" s="555" t="str">
        <f t="shared" si="45"/>
        <v>入力済</v>
      </c>
      <c r="BE103" s="555" t="str">
        <f t="shared" si="56"/>
        <v/>
      </c>
      <c r="BF103" s="555" t="str">
        <f t="shared" si="57"/>
        <v/>
      </c>
      <c r="BG103" s="555" t="str">
        <f t="shared" si="58"/>
        <v/>
      </c>
      <c r="BH103" s="555" t="str">
        <f t="shared" si="46"/>
        <v/>
      </c>
      <c r="BI103" s="555" t="str">
        <f t="shared" si="47"/>
        <v/>
      </c>
      <c r="BL103" t="str">
        <f t="shared" si="59"/>
        <v/>
      </c>
      <c r="BM103" t="str">
        <f t="shared" si="60"/>
        <v/>
      </c>
      <c r="BN103" t="str">
        <f t="shared" si="61"/>
        <v/>
      </c>
      <c r="BO103" s="562" t="str">
        <f>IF(BN103="対象",ROUNDDOWN(L103*VLOOKUP(K103,【参考】数式用!$A$4:$J$42,10,FALSE)*AA103,0),"")</f>
        <v/>
      </c>
      <c r="BP103" t="str">
        <f t="shared" si="62"/>
        <v/>
      </c>
    </row>
    <row r="104" spans="1:68" ht="109.95" customHeight="1" thickBot="1">
      <c r="A104" s="306">
        <v>91</v>
      </c>
      <c r="B104" s="646" t="str">
        <f>IF(基本情報入力シート!B126="","",基本情報入力シート!B126)</f>
        <v/>
      </c>
      <c r="C104" s="647"/>
      <c r="D104" s="647"/>
      <c r="E104" s="647"/>
      <c r="F104" s="648"/>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53" t="str">
        <f>IF(基本情報入力シート!AF126=0, "",基本情報入力シート!AF126)</f>
        <v/>
      </c>
      <c r="M104" s="519" t="str">
        <f>IF('別紙様式2-2（個票（４、５月））'!M104="","",'別紙様式2-2（個票（４、５月））'!M104)</f>
        <v/>
      </c>
      <c r="N104" s="518" t="str">
        <f>IF('別紙様式2-2（個票（４、５月））'!N104="","",'別紙様式2-2（個票（４、５月））'!N104)</f>
        <v/>
      </c>
      <c r="O104" s="289"/>
      <c r="P104" s="549" t="str">
        <f>IFERROR(VLOOKUP(K104,【参考】数式用!$A$2:$M$57,MATCH(O104,【参考】数式用!$G$3:$M$3,0)+6,0),"")</f>
        <v/>
      </c>
      <c r="Q104" s="313" t="s">
        <v>113</v>
      </c>
      <c r="R104" s="311"/>
      <c r="S104" s="312" t="s">
        <v>178</v>
      </c>
      <c r="T104" s="311"/>
      <c r="U104" s="312" t="s">
        <v>179</v>
      </c>
      <c r="V104" s="311"/>
      <c r="W104" s="312" t="s">
        <v>178</v>
      </c>
      <c r="X104" s="311"/>
      <c r="Y104" s="312" t="s">
        <v>180</v>
      </c>
      <c r="Z104" s="312" t="s">
        <v>181</v>
      </c>
      <c r="AA104" s="312" t="str">
        <f t="shared" si="64"/>
        <v/>
      </c>
      <c r="AB104" s="308" t="s">
        <v>182</v>
      </c>
      <c r="AC104" s="309" t="str">
        <f t="shared" si="48"/>
        <v/>
      </c>
      <c r="AD104" s="510" t="str">
        <f t="shared" si="49"/>
        <v/>
      </c>
      <c r="AE104" s="310" t="str">
        <f>IFERROR(ROUNDDOWN(ROUNDDOWN(ROUND(L104*VLOOKUP(K104,【参考】数式用!$A$2:$M$57,MATCH("処遇改善加算Ⅳ",【参考】数式用!$G$3:$M$3,0)+6,0),0),0)*AA104*0.5,0), "")</f>
        <v/>
      </c>
      <c r="AF104" s="321"/>
      <c r="AG104" s="322"/>
      <c r="AH104" s="322"/>
      <c r="AI104" s="321"/>
      <c r="AJ104" s="323"/>
      <c r="AK104" s="329"/>
      <c r="AL104" s="327" t="str">
        <f t="shared" si="38"/>
        <v/>
      </c>
      <c r="AM104" s="328" t="str">
        <f t="shared" si="50"/>
        <v/>
      </c>
      <c r="AN104" s="258"/>
      <c r="AO104" s="551" t="str">
        <f>IFERROR(VLOOKUP(K104,【参考】数式用!$A$2:$N$57,14,FALSE),"")</f>
        <v/>
      </c>
      <c r="AP104" s="551" t="str">
        <f t="shared" si="51"/>
        <v/>
      </c>
      <c r="AQ104" s="556" t="str">
        <f t="shared" si="39"/>
        <v/>
      </c>
      <c r="AR104" s="556" t="str">
        <f t="shared" si="63"/>
        <v>キャリアパス要件Ⅰ・Ⅱ_</v>
      </c>
      <c r="AS104" s="534" t="str">
        <f t="shared" si="40"/>
        <v>入力済</v>
      </c>
      <c r="AT104" s="551" t="str">
        <f t="shared" si="52"/>
        <v/>
      </c>
      <c r="AU104" s="534" t="str">
        <f t="shared" si="41"/>
        <v>入力済</v>
      </c>
      <c r="AV104" s="534" t="str">
        <f t="shared" si="42"/>
        <v/>
      </c>
      <c r="AW104" s="534" t="str">
        <f t="shared" si="53"/>
        <v/>
      </c>
      <c r="AX104" s="551" t="str">
        <f t="shared" si="43"/>
        <v/>
      </c>
      <c r="AY104" s="534" t="str">
        <f>IFERROR(VLOOKUP(K104,【参考】数式用!$AR$3:$AS$49, 2, FALSE), "")</f>
        <v/>
      </c>
      <c r="AZ104" s="551" t="str">
        <f t="shared" si="54"/>
        <v/>
      </c>
      <c r="BA104" s="555" t="str">
        <f t="shared" si="44"/>
        <v>入力済</v>
      </c>
      <c r="BB104" s="534" t="str">
        <f>IFERROR(VLOOKUP(K104,【参考】数式用!$AX$3:$AY$59, 2, FALSE), "")</f>
        <v/>
      </c>
      <c r="BC104" s="551" t="str">
        <f t="shared" si="55"/>
        <v/>
      </c>
      <c r="BD104" s="555" t="str">
        <f t="shared" si="45"/>
        <v>入力済</v>
      </c>
      <c r="BE104" s="555" t="str">
        <f t="shared" si="56"/>
        <v/>
      </c>
      <c r="BF104" s="555" t="str">
        <f t="shared" si="57"/>
        <v/>
      </c>
      <c r="BG104" s="555" t="str">
        <f t="shared" si="58"/>
        <v/>
      </c>
      <c r="BH104" s="555" t="str">
        <f t="shared" si="46"/>
        <v/>
      </c>
      <c r="BI104" s="555" t="str">
        <f t="shared" si="47"/>
        <v/>
      </c>
      <c r="BL104" t="str">
        <f t="shared" si="59"/>
        <v/>
      </c>
      <c r="BM104" t="str">
        <f t="shared" si="60"/>
        <v/>
      </c>
      <c r="BN104" t="str">
        <f t="shared" si="61"/>
        <v/>
      </c>
      <c r="BO104" s="562" t="str">
        <f>IF(BN104="対象",ROUNDDOWN(L104*VLOOKUP(K104,【参考】数式用!$A$4:$J$42,10,FALSE)*AA104,0),"")</f>
        <v/>
      </c>
      <c r="BP104" t="str">
        <f t="shared" si="62"/>
        <v/>
      </c>
    </row>
    <row r="105" spans="1:68" ht="109.95" customHeight="1" thickBot="1">
      <c r="A105" s="306">
        <v>92</v>
      </c>
      <c r="B105" s="646" t="str">
        <f>IF(基本情報入力シート!B127="","",基本情報入力シート!B127)</f>
        <v/>
      </c>
      <c r="C105" s="647"/>
      <c r="D105" s="647"/>
      <c r="E105" s="647"/>
      <c r="F105" s="648"/>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53" t="str">
        <f>IF(基本情報入力シート!AF127=0, "",基本情報入力シート!AF127)</f>
        <v/>
      </c>
      <c r="M105" s="519" t="str">
        <f>IF('別紙様式2-2（個票（４、５月））'!M105="","",'別紙様式2-2（個票（４、５月））'!M105)</f>
        <v/>
      </c>
      <c r="N105" s="518" t="str">
        <f>IF('別紙様式2-2（個票（４、５月））'!N105="","",'別紙様式2-2（個票（４、５月））'!N105)</f>
        <v/>
      </c>
      <c r="O105" s="289"/>
      <c r="P105" s="549" t="str">
        <f>IFERROR(VLOOKUP(K105,【参考】数式用!$A$2:$M$57,MATCH(O105,【参考】数式用!$G$3:$M$3,0)+6,0),"")</f>
        <v/>
      </c>
      <c r="Q105" s="313" t="s">
        <v>113</v>
      </c>
      <c r="R105" s="311"/>
      <c r="S105" s="312" t="s">
        <v>178</v>
      </c>
      <c r="T105" s="311"/>
      <c r="U105" s="312" t="s">
        <v>179</v>
      </c>
      <c r="V105" s="311"/>
      <c r="W105" s="312" t="s">
        <v>178</v>
      </c>
      <c r="X105" s="311"/>
      <c r="Y105" s="312" t="s">
        <v>180</v>
      </c>
      <c r="Z105" s="312" t="s">
        <v>181</v>
      </c>
      <c r="AA105" s="312" t="str">
        <f t="shared" si="64"/>
        <v/>
      </c>
      <c r="AB105" s="308" t="s">
        <v>182</v>
      </c>
      <c r="AC105" s="309" t="str">
        <f t="shared" si="48"/>
        <v/>
      </c>
      <c r="AD105" s="510" t="str">
        <f t="shared" si="49"/>
        <v/>
      </c>
      <c r="AE105" s="310" t="str">
        <f>IFERROR(ROUNDDOWN(ROUNDDOWN(ROUND(L105*VLOOKUP(K105,【参考】数式用!$A$2:$M$57,MATCH("処遇改善加算Ⅳ",【参考】数式用!$G$3:$M$3,0)+6,0),0),0)*AA105*0.5,0), "")</f>
        <v/>
      </c>
      <c r="AF105" s="321"/>
      <c r="AG105" s="322"/>
      <c r="AH105" s="322"/>
      <c r="AI105" s="321"/>
      <c r="AJ105" s="323"/>
      <c r="AK105" s="329"/>
      <c r="AL105" s="327" t="str">
        <f t="shared" si="38"/>
        <v/>
      </c>
      <c r="AM105" s="328" t="str">
        <f t="shared" si="50"/>
        <v/>
      </c>
      <c r="AN105" s="258"/>
      <c r="AO105" s="551" t="str">
        <f>IFERROR(VLOOKUP(K105,【参考】数式用!$A$2:$N$57,14,FALSE),"")</f>
        <v/>
      </c>
      <c r="AP105" s="551" t="str">
        <f t="shared" si="51"/>
        <v/>
      </c>
      <c r="AQ105" s="556" t="str">
        <f t="shared" si="39"/>
        <v/>
      </c>
      <c r="AR105" s="556" t="str">
        <f t="shared" si="63"/>
        <v>キャリアパス要件Ⅰ・Ⅱ_</v>
      </c>
      <c r="AS105" s="534" t="str">
        <f t="shared" si="40"/>
        <v>入力済</v>
      </c>
      <c r="AT105" s="551" t="str">
        <f t="shared" si="52"/>
        <v/>
      </c>
      <c r="AU105" s="534" t="str">
        <f t="shared" si="41"/>
        <v>入力済</v>
      </c>
      <c r="AV105" s="534" t="str">
        <f t="shared" si="42"/>
        <v/>
      </c>
      <c r="AW105" s="534" t="str">
        <f t="shared" si="53"/>
        <v/>
      </c>
      <c r="AX105" s="551" t="str">
        <f t="shared" si="43"/>
        <v/>
      </c>
      <c r="AY105" s="534" t="str">
        <f>IFERROR(VLOOKUP(K105,【参考】数式用!$AR$3:$AS$49, 2, FALSE), "")</f>
        <v/>
      </c>
      <c r="AZ105" s="551" t="str">
        <f t="shared" si="54"/>
        <v/>
      </c>
      <c r="BA105" s="555" t="str">
        <f t="shared" si="44"/>
        <v>入力済</v>
      </c>
      <c r="BB105" s="534" t="str">
        <f>IFERROR(VLOOKUP(K105,【参考】数式用!$AX$3:$AY$59, 2, FALSE), "")</f>
        <v/>
      </c>
      <c r="BC105" s="551" t="str">
        <f t="shared" si="55"/>
        <v/>
      </c>
      <c r="BD105" s="555" t="str">
        <f t="shared" si="45"/>
        <v>入力済</v>
      </c>
      <c r="BE105" s="555" t="str">
        <f t="shared" si="56"/>
        <v/>
      </c>
      <c r="BF105" s="555" t="str">
        <f t="shared" si="57"/>
        <v/>
      </c>
      <c r="BG105" s="555" t="str">
        <f t="shared" si="58"/>
        <v/>
      </c>
      <c r="BH105" s="555" t="str">
        <f t="shared" si="46"/>
        <v/>
      </c>
      <c r="BI105" s="555" t="str">
        <f t="shared" si="47"/>
        <v/>
      </c>
      <c r="BL105" t="str">
        <f t="shared" si="59"/>
        <v/>
      </c>
      <c r="BM105" t="str">
        <f t="shared" si="60"/>
        <v/>
      </c>
      <c r="BN105" t="str">
        <f t="shared" si="61"/>
        <v/>
      </c>
      <c r="BO105" s="562" t="str">
        <f>IF(BN105="対象",ROUNDDOWN(L105*VLOOKUP(K105,【参考】数式用!$A$4:$J$42,10,FALSE)*AA105,0),"")</f>
        <v/>
      </c>
      <c r="BP105" t="str">
        <f t="shared" si="62"/>
        <v/>
      </c>
    </row>
    <row r="106" spans="1:68" ht="109.95" customHeight="1" thickBot="1">
      <c r="A106" s="306">
        <v>93</v>
      </c>
      <c r="B106" s="646" t="str">
        <f>IF(基本情報入力シート!B128="","",基本情報入力シート!B128)</f>
        <v/>
      </c>
      <c r="C106" s="647"/>
      <c r="D106" s="647"/>
      <c r="E106" s="647"/>
      <c r="F106" s="648"/>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53" t="str">
        <f>IF(基本情報入力シート!AF128=0, "",基本情報入力シート!AF128)</f>
        <v/>
      </c>
      <c r="M106" s="519" t="str">
        <f>IF('別紙様式2-2（個票（４、５月））'!M106="","",'別紙様式2-2（個票（４、５月））'!M106)</f>
        <v/>
      </c>
      <c r="N106" s="518" t="str">
        <f>IF('別紙様式2-2（個票（４、５月））'!N106="","",'別紙様式2-2（個票（４、５月））'!N106)</f>
        <v/>
      </c>
      <c r="O106" s="289"/>
      <c r="P106" s="549" t="str">
        <f>IFERROR(VLOOKUP(K106,【参考】数式用!$A$2:$M$57,MATCH(O106,【参考】数式用!$G$3:$M$3,0)+6,0),"")</f>
        <v/>
      </c>
      <c r="Q106" s="313" t="s">
        <v>113</v>
      </c>
      <c r="R106" s="311"/>
      <c r="S106" s="312" t="s">
        <v>178</v>
      </c>
      <c r="T106" s="311"/>
      <c r="U106" s="312" t="s">
        <v>179</v>
      </c>
      <c r="V106" s="311"/>
      <c r="W106" s="312" t="s">
        <v>178</v>
      </c>
      <c r="X106" s="311"/>
      <c r="Y106" s="312" t="s">
        <v>180</v>
      </c>
      <c r="Z106" s="312" t="s">
        <v>181</v>
      </c>
      <c r="AA106" s="312" t="str">
        <f t="shared" si="64"/>
        <v/>
      </c>
      <c r="AB106" s="308" t="s">
        <v>182</v>
      </c>
      <c r="AC106" s="309" t="str">
        <f t="shared" si="48"/>
        <v/>
      </c>
      <c r="AD106" s="510" t="str">
        <f t="shared" si="49"/>
        <v/>
      </c>
      <c r="AE106" s="310" t="str">
        <f>IFERROR(ROUNDDOWN(ROUNDDOWN(ROUND(L106*VLOOKUP(K106,【参考】数式用!$A$2:$M$57,MATCH("処遇改善加算Ⅳ",【参考】数式用!$G$3:$M$3,0)+6,0),0),0)*AA106*0.5,0), "")</f>
        <v/>
      </c>
      <c r="AF106" s="321"/>
      <c r="AG106" s="322"/>
      <c r="AH106" s="322"/>
      <c r="AI106" s="321"/>
      <c r="AJ106" s="323"/>
      <c r="AK106" s="329"/>
      <c r="AL106" s="327" t="str">
        <f t="shared" si="38"/>
        <v/>
      </c>
      <c r="AM106" s="328" t="str">
        <f t="shared" si="50"/>
        <v/>
      </c>
      <c r="AN106" s="258"/>
      <c r="AO106" s="551" t="str">
        <f>IFERROR(VLOOKUP(K106,【参考】数式用!$A$2:$N$57,14,FALSE),"")</f>
        <v/>
      </c>
      <c r="AP106" s="551" t="str">
        <f t="shared" si="51"/>
        <v/>
      </c>
      <c r="AQ106" s="556" t="str">
        <f t="shared" si="39"/>
        <v/>
      </c>
      <c r="AR106" s="556" t="str">
        <f t="shared" si="63"/>
        <v>キャリアパス要件Ⅰ・Ⅱ_</v>
      </c>
      <c r="AS106" s="534" t="str">
        <f t="shared" si="40"/>
        <v>入力済</v>
      </c>
      <c r="AT106" s="551" t="str">
        <f t="shared" si="52"/>
        <v/>
      </c>
      <c r="AU106" s="534" t="str">
        <f t="shared" si="41"/>
        <v>入力済</v>
      </c>
      <c r="AV106" s="534" t="str">
        <f t="shared" si="42"/>
        <v/>
      </c>
      <c r="AW106" s="534" t="str">
        <f t="shared" si="53"/>
        <v/>
      </c>
      <c r="AX106" s="551" t="str">
        <f t="shared" si="43"/>
        <v/>
      </c>
      <c r="AY106" s="534" t="str">
        <f>IFERROR(VLOOKUP(K106,【参考】数式用!$AR$3:$AS$49, 2, FALSE), "")</f>
        <v/>
      </c>
      <c r="AZ106" s="551" t="str">
        <f t="shared" si="54"/>
        <v/>
      </c>
      <c r="BA106" s="555" t="str">
        <f t="shared" si="44"/>
        <v>入力済</v>
      </c>
      <c r="BB106" s="534" t="str">
        <f>IFERROR(VLOOKUP(K106,【参考】数式用!$AX$3:$AY$59, 2, FALSE), "")</f>
        <v/>
      </c>
      <c r="BC106" s="551" t="str">
        <f t="shared" si="55"/>
        <v/>
      </c>
      <c r="BD106" s="555" t="str">
        <f t="shared" si="45"/>
        <v>入力済</v>
      </c>
      <c r="BE106" s="555" t="str">
        <f t="shared" si="56"/>
        <v/>
      </c>
      <c r="BF106" s="555" t="str">
        <f t="shared" si="57"/>
        <v/>
      </c>
      <c r="BG106" s="555" t="str">
        <f t="shared" si="58"/>
        <v/>
      </c>
      <c r="BH106" s="555" t="str">
        <f t="shared" si="46"/>
        <v/>
      </c>
      <c r="BI106" s="555" t="str">
        <f t="shared" si="47"/>
        <v/>
      </c>
      <c r="BL106" t="str">
        <f t="shared" si="59"/>
        <v/>
      </c>
      <c r="BM106" t="str">
        <f t="shared" si="60"/>
        <v/>
      </c>
      <c r="BN106" t="str">
        <f t="shared" si="61"/>
        <v/>
      </c>
      <c r="BO106" s="562" t="str">
        <f>IF(BN106="対象",ROUNDDOWN(L106*VLOOKUP(K106,【参考】数式用!$A$4:$J$42,10,FALSE)*AA106,0),"")</f>
        <v/>
      </c>
      <c r="BP106" t="str">
        <f t="shared" si="62"/>
        <v/>
      </c>
    </row>
    <row r="107" spans="1:68" ht="109.95" customHeight="1" thickBot="1">
      <c r="A107" s="306">
        <v>94</v>
      </c>
      <c r="B107" s="646" t="str">
        <f>IF(基本情報入力シート!B129="","",基本情報入力シート!B129)</f>
        <v/>
      </c>
      <c r="C107" s="647"/>
      <c r="D107" s="647"/>
      <c r="E107" s="647"/>
      <c r="F107" s="648"/>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53" t="str">
        <f>IF(基本情報入力シート!AF129=0, "",基本情報入力シート!AF129)</f>
        <v/>
      </c>
      <c r="M107" s="519" t="str">
        <f>IF('別紙様式2-2（個票（４、５月））'!M107="","",'別紙様式2-2（個票（４、５月））'!M107)</f>
        <v/>
      </c>
      <c r="N107" s="518" t="str">
        <f>IF('別紙様式2-2（個票（４、５月））'!N107="","",'別紙様式2-2（個票（４、５月））'!N107)</f>
        <v/>
      </c>
      <c r="O107" s="289"/>
      <c r="P107" s="549" t="str">
        <f>IFERROR(VLOOKUP(K107,【参考】数式用!$A$2:$M$57,MATCH(O107,【参考】数式用!$G$3:$M$3,0)+6,0),"")</f>
        <v/>
      </c>
      <c r="Q107" s="313" t="s">
        <v>113</v>
      </c>
      <c r="R107" s="311"/>
      <c r="S107" s="312" t="s">
        <v>178</v>
      </c>
      <c r="T107" s="311"/>
      <c r="U107" s="312" t="s">
        <v>179</v>
      </c>
      <c r="V107" s="311"/>
      <c r="W107" s="312" t="s">
        <v>178</v>
      </c>
      <c r="X107" s="311"/>
      <c r="Y107" s="312" t="s">
        <v>115</v>
      </c>
      <c r="Z107" s="312" t="s">
        <v>181</v>
      </c>
      <c r="AA107" s="312" t="str">
        <f t="shared" si="64"/>
        <v/>
      </c>
      <c r="AB107" s="308" t="s">
        <v>182</v>
      </c>
      <c r="AC107" s="309" t="str">
        <f t="shared" si="48"/>
        <v/>
      </c>
      <c r="AD107" s="510" t="str">
        <f t="shared" si="49"/>
        <v/>
      </c>
      <c r="AE107" s="310" t="str">
        <f>IFERROR(ROUNDDOWN(ROUNDDOWN(ROUND(L107*VLOOKUP(K107,【参考】数式用!$A$2:$M$57,MATCH("処遇改善加算Ⅳ",【参考】数式用!$G$3:$M$3,0)+6,0),0),0)*AA107*0.5,0), "")</f>
        <v/>
      </c>
      <c r="AF107" s="321"/>
      <c r="AG107" s="322"/>
      <c r="AH107" s="322"/>
      <c r="AI107" s="321"/>
      <c r="AJ107" s="323"/>
      <c r="AK107" s="329"/>
      <c r="AL107" s="327" t="str">
        <f t="shared" si="38"/>
        <v/>
      </c>
      <c r="AM107" s="328" t="str">
        <f t="shared" si="50"/>
        <v/>
      </c>
      <c r="AN107" s="258"/>
      <c r="AO107" s="551" t="str">
        <f>IFERROR(VLOOKUP(K107,【参考】数式用!$A$2:$N$57,14,FALSE),"")</f>
        <v/>
      </c>
      <c r="AP107" s="551" t="str">
        <f t="shared" si="51"/>
        <v/>
      </c>
      <c r="AQ107" s="556" t="str">
        <f t="shared" si="39"/>
        <v/>
      </c>
      <c r="AR107" s="556" t="str">
        <f t="shared" si="63"/>
        <v>キャリアパス要件Ⅰ・Ⅱ_</v>
      </c>
      <c r="AS107" s="534" t="str">
        <f t="shared" si="40"/>
        <v>入力済</v>
      </c>
      <c r="AT107" s="551" t="str">
        <f t="shared" si="52"/>
        <v/>
      </c>
      <c r="AU107" s="534" t="str">
        <f t="shared" si="41"/>
        <v>入力済</v>
      </c>
      <c r="AV107" s="534" t="str">
        <f t="shared" si="42"/>
        <v/>
      </c>
      <c r="AW107" s="534" t="str">
        <f t="shared" si="53"/>
        <v/>
      </c>
      <c r="AX107" s="551" t="str">
        <f t="shared" si="43"/>
        <v/>
      </c>
      <c r="AY107" s="534" t="str">
        <f>IFERROR(VLOOKUP(K107,【参考】数式用!$AR$3:$AS$49, 2, FALSE), "")</f>
        <v/>
      </c>
      <c r="AZ107" s="551" t="str">
        <f t="shared" si="54"/>
        <v/>
      </c>
      <c r="BA107" s="555" t="str">
        <f t="shared" si="44"/>
        <v>入力済</v>
      </c>
      <c r="BB107" s="534" t="str">
        <f>IFERROR(VLOOKUP(K107,【参考】数式用!$AX$3:$AY$59, 2, FALSE), "")</f>
        <v/>
      </c>
      <c r="BC107" s="551" t="str">
        <f t="shared" si="55"/>
        <v/>
      </c>
      <c r="BD107" s="555" t="str">
        <f t="shared" si="45"/>
        <v>入力済</v>
      </c>
      <c r="BE107" s="555" t="str">
        <f t="shared" si="56"/>
        <v/>
      </c>
      <c r="BF107" s="555" t="str">
        <f t="shared" si="57"/>
        <v/>
      </c>
      <c r="BG107" s="555" t="str">
        <f t="shared" si="58"/>
        <v/>
      </c>
      <c r="BH107" s="555" t="str">
        <f t="shared" si="46"/>
        <v/>
      </c>
      <c r="BI107" s="555" t="str">
        <f t="shared" si="47"/>
        <v/>
      </c>
      <c r="BL107" t="str">
        <f t="shared" si="59"/>
        <v/>
      </c>
      <c r="BM107" t="str">
        <f t="shared" si="60"/>
        <v/>
      </c>
      <c r="BN107" t="str">
        <f t="shared" si="61"/>
        <v/>
      </c>
      <c r="BO107" s="562" t="str">
        <f>IF(BN107="対象",ROUNDDOWN(L107*VLOOKUP(K107,【参考】数式用!$A$4:$J$42,10,FALSE)*AA107,0),"")</f>
        <v/>
      </c>
      <c r="BP107" t="str">
        <f t="shared" si="62"/>
        <v/>
      </c>
    </row>
    <row r="108" spans="1:68" ht="109.95" customHeight="1" thickBot="1">
      <c r="A108" s="306">
        <v>95</v>
      </c>
      <c r="B108" s="646" t="str">
        <f>IF(基本情報入力シート!B130="","",基本情報入力シート!B130)</f>
        <v/>
      </c>
      <c r="C108" s="647"/>
      <c r="D108" s="647"/>
      <c r="E108" s="647"/>
      <c r="F108" s="648"/>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53" t="str">
        <f>IF(基本情報入力シート!AF130=0, "",基本情報入力シート!AF130)</f>
        <v/>
      </c>
      <c r="M108" s="519" t="str">
        <f>IF('別紙様式2-2（個票（４、５月））'!M108="","",'別紙様式2-2（個票（４、５月））'!M108)</f>
        <v/>
      </c>
      <c r="N108" s="518" t="str">
        <f>IF('別紙様式2-2（個票（４、５月））'!N108="","",'別紙様式2-2（個票（４、５月））'!N108)</f>
        <v/>
      </c>
      <c r="O108" s="289"/>
      <c r="P108" s="549" t="str">
        <f>IFERROR(VLOOKUP(K108,【参考】数式用!$A$2:$M$57,MATCH(O108,【参考】数式用!$G$3:$M$3,0)+6,0),"")</f>
        <v/>
      </c>
      <c r="Q108" s="313" t="s">
        <v>113</v>
      </c>
      <c r="R108" s="311"/>
      <c r="S108" s="312" t="s">
        <v>178</v>
      </c>
      <c r="T108" s="311"/>
      <c r="U108" s="312" t="s">
        <v>179</v>
      </c>
      <c r="V108" s="311"/>
      <c r="W108" s="312" t="s">
        <v>178</v>
      </c>
      <c r="X108" s="311"/>
      <c r="Y108" s="312" t="s">
        <v>115</v>
      </c>
      <c r="Z108" s="312" t="s">
        <v>181</v>
      </c>
      <c r="AA108" s="312" t="str">
        <f t="shared" si="64"/>
        <v/>
      </c>
      <c r="AB108" s="308" t="s">
        <v>182</v>
      </c>
      <c r="AC108" s="309" t="str">
        <f t="shared" si="48"/>
        <v/>
      </c>
      <c r="AD108" s="510" t="str">
        <f t="shared" si="49"/>
        <v/>
      </c>
      <c r="AE108" s="310" t="str">
        <f>IFERROR(ROUNDDOWN(ROUNDDOWN(ROUND(L108*VLOOKUP(K108,【参考】数式用!$A$2:$M$57,MATCH("処遇改善加算Ⅳ",【参考】数式用!$G$3:$M$3,0)+6,0),0),0)*AA108*0.5,0), "")</f>
        <v/>
      </c>
      <c r="AF108" s="321"/>
      <c r="AG108" s="322"/>
      <c r="AH108" s="322"/>
      <c r="AI108" s="321"/>
      <c r="AJ108" s="323"/>
      <c r="AK108" s="329"/>
      <c r="AL108" s="327" t="str">
        <f t="shared" si="38"/>
        <v/>
      </c>
      <c r="AM108" s="328" t="str">
        <f t="shared" si="50"/>
        <v/>
      </c>
      <c r="AN108" s="258"/>
      <c r="AO108" s="551" t="str">
        <f>IFERROR(VLOOKUP(K108,【参考】数式用!$A$2:$N$57,14,FALSE),"")</f>
        <v/>
      </c>
      <c r="AP108" s="551" t="str">
        <f t="shared" si="51"/>
        <v/>
      </c>
      <c r="AQ108" s="556" t="str">
        <f t="shared" si="39"/>
        <v/>
      </c>
      <c r="AR108" s="556" t="str">
        <f t="shared" si="63"/>
        <v>キャリアパス要件Ⅰ・Ⅱ_</v>
      </c>
      <c r="AS108" s="534" t="str">
        <f t="shared" si="40"/>
        <v>入力済</v>
      </c>
      <c r="AT108" s="551" t="str">
        <f t="shared" si="52"/>
        <v/>
      </c>
      <c r="AU108" s="534" t="str">
        <f t="shared" si="41"/>
        <v>入力済</v>
      </c>
      <c r="AV108" s="534" t="str">
        <f t="shared" si="42"/>
        <v/>
      </c>
      <c r="AW108" s="534" t="str">
        <f t="shared" si="53"/>
        <v/>
      </c>
      <c r="AX108" s="551" t="str">
        <f t="shared" si="43"/>
        <v/>
      </c>
      <c r="AY108" s="534" t="str">
        <f>IFERROR(VLOOKUP(K108,【参考】数式用!$AR$3:$AS$49, 2, FALSE), "")</f>
        <v/>
      </c>
      <c r="AZ108" s="551" t="str">
        <f t="shared" si="54"/>
        <v/>
      </c>
      <c r="BA108" s="555" t="str">
        <f t="shared" si="44"/>
        <v>入力済</v>
      </c>
      <c r="BB108" s="534" t="str">
        <f>IFERROR(VLOOKUP(K108,【参考】数式用!$AX$3:$AY$59, 2, FALSE), "")</f>
        <v/>
      </c>
      <c r="BC108" s="551" t="str">
        <f t="shared" si="55"/>
        <v/>
      </c>
      <c r="BD108" s="555" t="str">
        <f t="shared" si="45"/>
        <v>入力済</v>
      </c>
      <c r="BE108" s="555" t="str">
        <f t="shared" si="56"/>
        <v/>
      </c>
      <c r="BF108" s="555" t="str">
        <f t="shared" si="57"/>
        <v/>
      </c>
      <c r="BG108" s="555" t="str">
        <f t="shared" si="58"/>
        <v/>
      </c>
      <c r="BH108" s="555" t="str">
        <f t="shared" si="46"/>
        <v/>
      </c>
      <c r="BI108" s="555" t="str">
        <f t="shared" si="47"/>
        <v/>
      </c>
      <c r="BL108" t="str">
        <f t="shared" si="59"/>
        <v/>
      </c>
      <c r="BM108" t="str">
        <f t="shared" si="60"/>
        <v/>
      </c>
      <c r="BN108" t="str">
        <f t="shared" si="61"/>
        <v/>
      </c>
      <c r="BO108" s="562" t="str">
        <f>IF(BN108="対象",ROUNDDOWN(L108*VLOOKUP(K108,【参考】数式用!$A$4:$J$42,10,FALSE)*AA108,0),"")</f>
        <v/>
      </c>
      <c r="BP108" t="str">
        <f t="shared" si="62"/>
        <v/>
      </c>
    </row>
    <row r="109" spans="1:68" ht="109.95" customHeight="1" thickBot="1">
      <c r="A109" s="306">
        <v>96</v>
      </c>
      <c r="B109" s="646" t="str">
        <f>IF(基本情報入力シート!B131="","",基本情報入力シート!B131)</f>
        <v/>
      </c>
      <c r="C109" s="647"/>
      <c r="D109" s="647"/>
      <c r="E109" s="647"/>
      <c r="F109" s="648"/>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53" t="str">
        <f>IF(基本情報入力シート!AF131=0, "",基本情報入力シート!AF131)</f>
        <v/>
      </c>
      <c r="M109" s="519" t="str">
        <f>IF('別紙様式2-2（個票（４、５月））'!M109="","",'別紙様式2-2（個票（４、５月））'!M109)</f>
        <v/>
      </c>
      <c r="N109" s="518" t="str">
        <f>IF('別紙様式2-2（個票（４、５月））'!N109="","",'別紙様式2-2（個票（４、５月））'!N109)</f>
        <v/>
      </c>
      <c r="O109" s="289"/>
      <c r="P109" s="549" t="str">
        <f>IFERROR(VLOOKUP(K109,【参考】数式用!$A$2:$M$57,MATCH(O109,【参考】数式用!$G$3:$M$3,0)+6,0),"")</f>
        <v/>
      </c>
      <c r="Q109" s="313" t="s">
        <v>113</v>
      </c>
      <c r="R109" s="311"/>
      <c r="S109" s="312" t="s">
        <v>178</v>
      </c>
      <c r="T109" s="311"/>
      <c r="U109" s="312" t="s">
        <v>179</v>
      </c>
      <c r="V109" s="311"/>
      <c r="W109" s="312" t="s">
        <v>178</v>
      </c>
      <c r="X109" s="311"/>
      <c r="Y109" s="312" t="s">
        <v>180</v>
      </c>
      <c r="Z109" s="312" t="s">
        <v>181</v>
      </c>
      <c r="AA109" s="312" t="str">
        <f t="shared" si="64"/>
        <v/>
      </c>
      <c r="AB109" s="308" t="s">
        <v>182</v>
      </c>
      <c r="AC109" s="309" t="str">
        <f t="shared" si="48"/>
        <v/>
      </c>
      <c r="AD109" s="510" t="str">
        <f t="shared" si="49"/>
        <v/>
      </c>
      <c r="AE109" s="310" t="str">
        <f>IFERROR(ROUNDDOWN(ROUNDDOWN(ROUND(L109*VLOOKUP(K109,【参考】数式用!$A$2:$M$57,MATCH("処遇改善加算Ⅳ",【参考】数式用!$G$3:$M$3,0)+6,0),0),0)*AA109*0.5,0), "")</f>
        <v/>
      </c>
      <c r="AF109" s="321"/>
      <c r="AG109" s="322"/>
      <c r="AH109" s="322"/>
      <c r="AI109" s="321"/>
      <c r="AJ109" s="323"/>
      <c r="AK109" s="329"/>
      <c r="AL109" s="327" t="str">
        <f t="shared" ref="AL109:AL113"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8" t="str">
        <f t="shared" si="50"/>
        <v/>
      </c>
      <c r="AN109" s="258"/>
      <c r="AO109" s="551" t="str">
        <f>IFERROR(VLOOKUP(K109,【参考】数式用!$A$2:$N$57,14,FALSE),"")</f>
        <v/>
      </c>
      <c r="AP109" s="551" t="str">
        <f t="shared" si="51"/>
        <v/>
      </c>
      <c r="AQ109" s="556" t="str">
        <f t="shared" si="39"/>
        <v/>
      </c>
      <c r="AR109" s="556" t="str">
        <f t="shared" si="63"/>
        <v>キャリアパス要件Ⅰ・Ⅱ_</v>
      </c>
      <c r="AS109" s="534" t="str">
        <f t="shared" si="40"/>
        <v>入力済</v>
      </c>
      <c r="AT109" s="551" t="str">
        <f t="shared" si="52"/>
        <v/>
      </c>
      <c r="AU109" s="534" t="str">
        <f t="shared" si="41"/>
        <v>入力済</v>
      </c>
      <c r="AV109" s="534" t="str">
        <f t="shared" si="42"/>
        <v/>
      </c>
      <c r="AW109" s="534" t="str">
        <f t="shared" si="53"/>
        <v/>
      </c>
      <c r="AX109" s="551" t="str">
        <f t="shared" ref="AX109:AX113" si="66">IF(AND(AW109=1, OR(AI109=0,AI109=""),AO109="加算対象"),"AH列に色付け","")</f>
        <v/>
      </c>
      <c r="AY109" s="534" t="str">
        <f>IFERROR(VLOOKUP(K109,【参考】数式用!$AR$3:$AS$49, 2, FALSE), "")</f>
        <v/>
      </c>
      <c r="AZ109" s="551" t="str">
        <f t="shared" si="54"/>
        <v/>
      </c>
      <c r="BA109" s="555" t="str">
        <f t="shared" si="44"/>
        <v>入力済</v>
      </c>
      <c r="BB109" s="534" t="str">
        <f>IFERROR(VLOOKUP(K109,【参考】数式用!$AX$3:$AY$59, 2, FALSE), "")</f>
        <v/>
      </c>
      <c r="BC109" s="551" t="str">
        <f t="shared" si="55"/>
        <v/>
      </c>
      <c r="BD109" s="555" t="str">
        <f t="shared" si="45"/>
        <v>入力済</v>
      </c>
      <c r="BE109" s="555" t="str">
        <f t="shared" si="56"/>
        <v/>
      </c>
      <c r="BF109" s="555" t="str">
        <f t="shared" si="57"/>
        <v/>
      </c>
      <c r="BG109" s="555" t="str">
        <f t="shared" si="58"/>
        <v/>
      </c>
      <c r="BH109" s="555" t="str">
        <f t="shared" ref="BH109:BH113" si="67">IF(AND(BE109="",BG109="入力必要"),IF(AK109="","未入力","入力済"),"")</f>
        <v/>
      </c>
      <c r="BI109" s="555" t="str">
        <f t="shared" si="47"/>
        <v/>
      </c>
      <c r="BL109" t="str">
        <f t="shared" si="59"/>
        <v/>
      </c>
      <c r="BM109" t="str">
        <f t="shared" si="60"/>
        <v/>
      </c>
      <c r="BN109" t="str">
        <f t="shared" si="61"/>
        <v/>
      </c>
      <c r="BO109" s="562" t="str">
        <f>IF(BN109="対象",ROUNDDOWN(L109*VLOOKUP(K109,【参考】数式用!$A$4:$J$42,10,FALSE)*AA109,0),"")</f>
        <v/>
      </c>
      <c r="BP109" t="str">
        <f t="shared" si="62"/>
        <v/>
      </c>
    </row>
    <row r="110" spans="1:68" ht="109.95" customHeight="1" thickBot="1">
      <c r="A110" s="306">
        <v>97</v>
      </c>
      <c r="B110" s="646" t="str">
        <f>IF(基本情報入力シート!B132="","",基本情報入力シート!B132)</f>
        <v/>
      </c>
      <c r="C110" s="647"/>
      <c r="D110" s="647"/>
      <c r="E110" s="647"/>
      <c r="F110" s="648"/>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53" t="str">
        <f>IF(基本情報入力シート!AF132=0, "",基本情報入力シート!AF132)</f>
        <v/>
      </c>
      <c r="M110" s="519" t="str">
        <f>IF('別紙様式2-2（個票（４、５月））'!M110="","",'別紙様式2-2（個票（４、５月））'!M110)</f>
        <v/>
      </c>
      <c r="N110" s="518" t="str">
        <f>IF('別紙様式2-2（個票（４、５月））'!N110="","",'別紙様式2-2（個票（４、５月））'!N110)</f>
        <v/>
      </c>
      <c r="O110" s="289"/>
      <c r="P110" s="549" t="str">
        <f>IFERROR(VLOOKUP(K110,【参考】数式用!$A$2:$M$57,MATCH(O110,【参考】数式用!$G$3:$M$3,0)+6,0),"")</f>
        <v/>
      </c>
      <c r="Q110" s="313" t="s">
        <v>113</v>
      </c>
      <c r="R110" s="311"/>
      <c r="S110" s="312" t="s">
        <v>178</v>
      </c>
      <c r="T110" s="311"/>
      <c r="U110" s="312" t="s">
        <v>179</v>
      </c>
      <c r="V110" s="311"/>
      <c r="W110" s="312" t="s">
        <v>178</v>
      </c>
      <c r="X110" s="311"/>
      <c r="Y110" s="312" t="s">
        <v>180</v>
      </c>
      <c r="Z110" s="312" t="s">
        <v>181</v>
      </c>
      <c r="AA110" s="312" t="str">
        <f t="shared" si="64"/>
        <v/>
      </c>
      <c r="AB110" s="308" t="s">
        <v>182</v>
      </c>
      <c r="AC110" s="309" t="str">
        <f t="shared" si="48"/>
        <v/>
      </c>
      <c r="AD110" s="510" t="str">
        <f t="shared" si="49"/>
        <v/>
      </c>
      <c r="AE110" s="310" t="str">
        <f>IFERROR(ROUNDDOWN(ROUNDDOWN(ROUND(L110*VLOOKUP(K110,【参考】数式用!$A$2:$M$57,MATCH("処遇改善加算Ⅳ",【参考】数式用!$G$3:$M$3,0)+6,0),0),0)*AA110*0.5,0), "")</f>
        <v/>
      </c>
      <c r="AF110" s="321"/>
      <c r="AG110" s="322"/>
      <c r="AH110" s="322"/>
      <c r="AI110" s="321"/>
      <c r="AJ110" s="323"/>
      <c r="AK110" s="329"/>
      <c r="AL110" s="327" t="str">
        <f t="shared" si="65"/>
        <v/>
      </c>
      <c r="AM110" s="328" t="str">
        <f t="shared" si="50"/>
        <v/>
      </c>
      <c r="AN110" s="258"/>
      <c r="AO110" s="551" t="str">
        <f>IFERROR(VLOOKUP(K110,【参考】数式用!$A$2:$N$57,14,FALSE),"")</f>
        <v/>
      </c>
      <c r="AP110" s="551" t="str">
        <f t="shared" si="51"/>
        <v/>
      </c>
      <c r="AQ110" s="556" t="str">
        <f t="shared" si="39"/>
        <v/>
      </c>
      <c r="AR110" s="556" t="str">
        <f t="shared" si="63"/>
        <v>キャリアパス要件Ⅰ・Ⅱ_</v>
      </c>
      <c r="AS110" s="534" t="str">
        <f t="shared" si="40"/>
        <v>入力済</v>
      </c>
      <c r="AT110" s="551" t="str">
        <f t="shared" si="52"/>
        <v/>
      </c>
      <c r="AU110" s="534" t="str">
        <f t="shared" si="41"/>
        <v>入力済</v>
      </c>
      <c r="AV110" s="534" t="str">
        <f t="shared" si="42"/>
        <v/>
      </c>
      <c r="AW110" s="534" t="str">
        <f t="shared" si="53"/>
        <v/>
      </c>
      <c r="AX110" s="551" t="str">
        <f t="shared" si="66"/>
        <v/>
      </c>
      <c r="AY110" s="534" t="str">
        <f>IFERROR(VLOOKUP(K110,【参考】数式用!$AR$3:$AS$49, 2, FALSE), "")</f>
        <v/>
      </c>
      <c r="AZ110" s="551" t="str">
        <f t="shared" si="54"/>
        <v/>
      </c>
      <c r="BA110" s="555" t="str">
        <f t="shared" si="44"/>
        <v>入力済</v>
      </c>
      <c r="BB110" s="534" t="str">
        <f>IFERROR(VLOOKUP(K110,【参考】数式用!$AX$3:$AY$59, 2, FALSE), "")</f>
        <v/>
      </c>
      <c r="BC110" s="551" t="str">
        <f t="shared" si="55"/>
        <v/>
      </c>
      <c r="BD110" s="555" t="str">
        <f t="shared" si="45"/>
        <v>入力済</v>
      </c>
      <c r="BE110" s="555" t="str">
        <f t="shared" si="56"/>
        <v/>
      </c>
      <c r="BF110" s="555" t="str">
        <f t="shared" si="57"/>
        <v/>
      </c>
      <c r="BG110" s="555" t="str">
        <f t="shared" si="58"/>
        <v/>
      </c>
      <c r="BH110" s="555" t="str">
        <f t="shared" si="67"/>
        <v/>
      </c>
      <c r="BI110" s="555" t="str">
        <f t="shared" si="47"/>
        <v/>
      </c>
      <c r="BL110" t="str">
        <f t="shared" si="59"/>
        <v/>
      </c>
      <c r="BM110" t="str">
        <f t="shared" si="60"/>
        <v/>
      </c>
      <c r="BN110" t="str">
        <f t="shared" si="61"/>
        <v/>
      </c>
      <c r="BO110" s="562" t="str">
        <f>IF(BN110="対象",ROUNDDOWN(L110*VLOOKUP(K110,【参考】数式用!$A$4:$J$42,10,FALSE)*AA110,0),"")</f>
        <v/>
      </c>
      <c r="BP110" t="str">
        <f t="shared" si="62"/>
        <v/>
      </c>
    </row>
    <row r="111" spans="1:68" ht="109.95" customHeight="1" thickBot="1">
      <c r="A111" s="306">
        <v>98</v>
      </c>
      <c r="B111" s="646" t="str">
        <f>IF(基本情報入力シート!B133="","",基本情報入力シート!B133)</f>
        <v/>
      </c>
      <c r="C111" s="647"/>
      <c r="D111" s="647"/>
      <c r="E111" s="647"/>
      <c r="F111" s="648"/>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53" t="str">
        <f>IF(基本情報入力シート!AF133=0, "",基本情報入力シート!AF133)</f>
        <v/>
      </c>
      <c r="M111" s="519" t="str">
        <f>IF('別紙様式2-2（個票（４、５月））'!M111="","",'別紙様式2-2（個票（４、５月））'!M111)</f>
        <v/>
      </c>
      <c r="N111" s="518" t="str">
        <f>IF('別紙様式2-2（個票（４、５月））'!N111="","",'別紙様式2-2（個票（４、５月））'!N111)</f>
        <v/>
      </c>
      <c r="O111" s="289"/>
      <c r="P111" s="549" t="str">
        <f>IFERROR(VLOOKUP(K111,【参考】数式用!$A$2:$M$57,MATCH(O111,【参考】数式用!$G$3:$M$3,0)+6,0),"")</f>
        <v/>
      </c>
      <c r="Q111" s="313" t="s">
        <v>113</v>
      </c>
      <c r="R111" s="311"/>
      <c r="S111" s="312" t="s">
        <v>178</v>
      </c>
      <c r="T111" s="311"/>
      <c r="U111" s="312" t="s">
        <v>179</v>
      </c>
      <c r="V111" s="311"/>
      <c r="W111" s="312" t="s">
        <v>178</v>
      </c>
      <c r="X111" s="311"/>
      <c r="Y111" s="312" t="s">
        <v>180</v>
      </c>
      <c r="Z111" s="312" t="s">
        <v>181</v>
      </c>
      <c r="AA111" s="312" t="str">
        <f t="shared" si="64"/>
        <v/>
      </c>
      <c r="AB111" s="308" t="s">
        <v>182</v>
      </c>
      <c r="AC111" s="309" t="str">
        <f t="shared" si="48"/>
        <v/>
      </c>
      <c r="AD111" s="510" t="str">
        <f t="shared" si="49"/>
        <v/>
      </c>
      <c r="AE111" s="310" t="str">
        <f>IFERROR(ROUNDDOWN(ROUNDDOWN(ROUND(L111*VLOOKUP(K111,【参考】数式用!$A$2:$M$57,MATCH("処遇改善加算Ⅳ",【参考】数式用!$G$3:$M$3,0)+6,0),0),0)*AA111*0.5,0), "")</f>
        <v/>
      </c>
      <c r="AF111" s="321"/>
      <c r="AG111" s="322"/>
      <c r="AH111" s="322"/>
      <c r="AI111" s="321"/>
      <c r="AJ111" s="323"/>
      <c r="AK111" s="329"/>
      <c r="AL111" s="327" t="str">
        <f t="shared" si="65"/>
        <v/>
      </c>
      <c r="AM111" s="328" t="str">
        <f t="shared" si="50"/>
        <v/>
      </c>
      <c r="AN111" s="258"/>
      <c r="AO111" s="551" t="str">
        <f>IFERROR(VLOOKUP(K111,【参考】数式用!$A$2:$N$57,14,FALSE),"")</f>
        <v/>
      </c>
      <c r="AP111" s="551" t="str">
        <f t="shared" si="51"/>
        <v/>
      </c>
      <c r="AQ111" s="556" t="str">
        <f t="shared" si="39"/>
        <v/>
      </c>
      <c r="AR111" s="556" t="str">
        <f t="shared" si="63"/>
        <v>キャリアパス要件Ⅰ・Ⅱ_</v>
      </c>
      <c r="AS111" s="534" t="str">
        <f t="shared" si="40"/>
        <v>入力済</v>
      </c>
      <c r="AT111" s="551" t="str">
        <f t="shared" si="52"/>
        <v/>
      </c>
      <c r="AU111" s="534" t="str">
        <f t="shared" si="41"/>
        <v>入力済</v>
      </c>
      <c r="AV111" s="534" t="str">
        <f t="shared" si="42"/>
        <v/>
      </c>
      <c r="AW111" s="534" t="str">
        <f t="shared" si="53"/>
        <v/>
      </c>
      <c r="AX111" s="551" t="str">
        <f t="shared" si="66"/>
        <v/>
      </c>
      <c r="AY111" s="534" t="str">
        <f>IFERROR(VLOOKUP(K111,【参考】数式用!$AR$3:$AS$49, 2, FALSE), "")</f>
        <v/>
      </c>
      <c r="AZ111" s="551" t="str">
        <f t="shared" si="54"/>
        <v/>
      </c>
      <c r="BA111" s="555" t="str">
        <f t="shared" si="44"/>
        <v>入力済</v>
      </c>
      <c r="BB111" s="534" t="str">
        <f>IFERROR(VLOOKUP(K111,【参考】数式用!$AX$3:$AY$59, 2, FALSE), "")</f>
        <v/>
      </c>
      <c r="BC111" s="551" t="str">
        <f t="shared" si="55"/>
        <v/>
      </c>
      <c r="BD111" s="555" t="str">
        <f t="shared" si="45"/>
        <v>入力済</v>
      </c>
      <c r="BE111" s="555" t="str">
        <f t="shared" si="56"/>
        <v/>
      </c>
      <c r="BF111" s="555" t="str">
        <f t="shared" si="57"/>
        <v/>
      </c>
      <c r="BG111" s="555" t="str">
        <f t="shared" si="58"/>
        <v/>
      </c>
      <c r="BH111" s="555" t="str">
        <f t="shared" si="67"/>
        <v/>
      </c>
      <c r="BI111" s="555" t="str">
        <f t="shared" si="47"/>
        <v/>
      </c>
      <c r="BL111" t="str">
        <f t="shared" si="59"/>
        <v/>
      </c>
      <c r="BM111" t="str">
        <f t="shared" si="60"/>
        <v/>
      </c>
      <c r="BN111" t="str">
        <f t="shared" si="61"/>
        <v/>
      </c>
      <c r="BO111" s="562" t="str">
        <f>IF(BN111="対象",ROUNDDOWN(L111*VLOOKUP(K111,【参考】数式用!$A$4:$J$42,10,FALSE)*AA111,0),"")</f>
        <v/>
      </c>
      <c r="BP111" t="str">
        <f t="shared" si="62"/>
        <v/>
      </c>
    </row>
    <row r="112" spans="1:68" ht="109.95" customHeight="1" thickBot="1">
      <c r="A112" s="336">
        <v>99</v>
      </c>
      <c r="B112" s="665" t="str">
        <f>IF(基本情報入力シート!B134="","",基本情報入力シート!B134)</f>
        <v/>
      </c>
      <c r="C112" s="666"/>
      <c r="D112" s="666"/>
      <c r="E112" s="666"/>
      <c r="F112" s="667"/>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19" t="str">
        <f>IF('別紙様式2-2（個票（４、５月））'!M112="","",'別紙様式2-2（個票（４、５月））'!M112)</f>
        <v/>
      </c>
      <c r="N112" s="518" t="str">
        <f>IF('別紙様式2-2（個票（４、５月））'!N112="","",'別紙様式2-2（個票（４、５月））'!N112)</f>
        <v/>
      </c>
      <c r="O112" s="289"/>
      <c r="P112" s="549" t="str">
        <f>IFERROR(VLOOKUP(K112,【参考】数式用!$A$2:$M$57,MATCH(O112,【参考】数式用!$G$3:$M$3,0)+6,0),"")</f>
        <v/>
      </c>
      <c r="Q112" s="341" t="s">
        <v>113</v>
      </c>
      <c r="R112" s="342"/>
      <c r="S112" s="343" t="s">
        <v>178</v>
      </c>
      <c r="T112" s="342"/>
      <c r="U112" s="343" t="s">
        <v>179</v>
      </c>
      <c r="V112" s="342"/>
      <c r="W112" s="343" t="s">
        <v>178</v>
      </c>
      <c r="X112" s="342"/>
      <c r="Y112" s="343" t="s">
        <v>115</v>
      </c>
      <c r="Z112" s="343" t="s">
        <v>181</v>
      </c>
      <c r="AA112" s="343" t="str">
        <f t="shared" si="64"/>
        <v/>
      </c>
      <c r="AB112" s="344" t="s">
        <v>182</v>
      </c>
      <c r="AC112" s="309" t="str">
        <f t="shared" si="48"/>
        <v/>
      </c>
      <c r="AD112" s="510" t="str">
        <f t="shared" si="49"/>
        <v/>
      </c>
      <c r="AE112" s="310" t="str">
        <f>IFERROR(ROUNDDOWN(ROUNDDOWN(ROUND(L112*VLOOKUP(K112,【参考】数式用!$A$2:$M$57,MATCH("処遇改善加算Ⅳ",【参考】数式用!$G$3:$M$3,0)+6,0),0),0)*AA112*0.5,0), "")</f>
        <v/>
      </c>
      <c r="AF112" s="321"/>
      <c r="AG112" s="322"/>
      <c r="AH112" s="322"/>
      <c r="AI112" s="321"/>
      <c r="AJ112" s="323"/>
      <c r="AK112" s="329"/>
      <c r="AL112" s="327" t="str">
        <f t="shared" si="65"/>
        <v/>
      </c>
      <c r="AM112" s="328" t="str">
        <f t="shared" si="50"/>
        <v/>
      </c>
      <c r="AN112" s="258"/>
      <c r="AO112" s="551" t="str">
        <f>IFERROR(VLOOKUP(K112,【参考】数式用!$A$2:$N$57,14,FALSE),"")</f>
        <v/>
      </c>
      <c r="AP112" s="551" t="str">
        <f t="shared" si="51"/>
        <v/>
      </c>
      <c r="AQ112" s="556" t="str">
        <f t="shared" si="39"/>
        <v/>
      </c>
      <c r="AR112" s="556" t="str">
        <f t="shared" si="63"/>
        <v>キャリアパス要件Ⅰ・Ⅱ_</v>
      </c>
      <c r="AS112" s="534" t="str">
        <f t="shared" si="40"/>
        <v>入力済</v>
      </c>
      <c r="AT112" s="551" t="str">
        <f t="shared" si="52"/>
        <v/>
      </c>
      <c r="AU112" s="534" t="str">
        <f t="shared" si="41"/>
        <v>入力済</v>
      </c>
      <c r="AV112" s="534" t="str">
        <f t="shared" si="42"/>
        <v/>
      </c>
      <c r="AW112" s="534" t="str">
        <f t="shared" si="53"/>
        <v/>
      </c>
      <c r="AX112" s="551" t="str">
        <f t="shared" si="66"/>
        <v/>
      </c>
      <c r="AY112" s="534" t="str">
        <f>IFERROR(VLOOKUP(K112,【参考】数式用!$AR$3:$AS$49, 2, FALSE), "")</f>
        <v/>
      </c>
      <c r="AZ112" s="551" t="str">
        <f t="shared" si="54"/>
        <v/>
      </c>
      <c r="BA112" s="555" t="str">
        <f t="shared" si="44"/>
        <v>入力済</v>
      </c>
      <c r="BB112" s="534" t="str">
        <f>IFERROR(VLOOKUP(K112,【参考】数式用!$AX$3:$AY$59, 2, FALSE), "")</f>
        <v/>
      </c>
      <c r="BC112" s="551" t="str">
        <f t="shared" si="55"/>
        <v/>
      </c>
      <c r="BD112" s="555" t="str">
        <f t="shared" si="45"/>
        <v>入力済</v>
      </c>
      <c r="BE112" s="555" t="str">
        <f t="shared" si="56"/>
        <v/>
      </c>
      <c r="BF112" s="555" t="str">
        <f t="shared" si="57"/>
        <v/>
      </c>
      <c r="BG112" s="555" t="str">
        <f t="shared" si="58"/>
        <v/>
      </c>
      <c r="BH112" s="555" t="str">
        <f t="shared" si="67"/>
        <v/>
      </c>
      <c r="BI112" s="555" t="str">
        <f t="shared" si="47"/>
        <v/>
      </c>
      <c r="BL112" t="str">
        <f t="shared" si="59"/>
        <v/>
      </c>
      <c r="BM112" t="str">
        <f t="shared" si="60"/>
        <v/>
      </c>
      <c r="BN112" t="str">
        <f t="shared" si="61"/>
        <v/>
      </c>
      <c r="BO112" s="562" t="str">
        <f>IF(BN112="対象",ROUNDDOWN(L112*VLOOKUP(K112,【参考】数式用!$A$4:$J$42,10,FALSE)*AA112,0),"")</f>
        <v/>
      </c>
      <c r="BP112" t="str">
        <f t="shared" si="62"/>
        <v/>
      </c>
    </row>
    <row r="113" spans="1:68" ht="109.95" customHeight="1" thickBot="1">
      <c r="A113" s="336">
        <v>100</v>
      </c>
      <c r="B113" s="665" t="str">
        <f>IF(基本情報入力シート!B135="","",基本情報入力シート!B135)</f>
        <v/>
      </c>
      <c r="C113" s="666"/>
      <c r="D113" s="666"/>
      <c r="E113" s="666"/>
      <c r="F113" s="667"/>
      <c r="G113" s="337" t="str">
        <f>IF(基本情報入力シート!L135="", "", 基本情報入力シート!L135)</f>
        <v/>
      </c>
      <c r="H113" s="337" t="str">
        <f>IF(基本情報入力シート!Q135="", "", 基本情報入力シート!Q135)</f>
        <v/>
      </c>
      <c r="I113" s="337" t="str">
        <f>IF(基本情報入力シート!V135="", "", 基本情報入力シート!V135)</f>
        <v/>
      </c>
      <c r="J113" s="337" t="str">
        <f>IF(基本情報入力シート!W135="", "", 基本情報入力シート!W135)</f>
        <v/>
      </c>
      <c r="K113" s="337" t="str">
        <f>IF(基本情報入力シート!Z135="", "", 基本情報入力シート!Z135)</f>
        <v/>
      </c>
      <c r="L113" s="338" t="str">
        <f>IF(基本情報入力シート!AF135=0, "",基本情報入力シート!AF135)</f>
        <v/>
      </c>
      <c r="M113" s="520" t="str">
        <f>IF('別紙様式2-2（個票（４、５月））'!M113="","",'別紙様式2-2（個票（４、５月））'!M113)</f>
        <v/>
      </c>
      <c r="N113" s="575" t="str">
        <f>IF('別紙様式2-2（個票（４、５月））'!N113="","",'別紙様式2-2（個票（４、５月））'!N113)</f>
        <v/>
      </c>
      <c r="O113" s="339"/>
      <c r="P113" s="340" t="str">
        <f>IFERROR(VLOOKUP(K113,【参考】数式用!$A$2:$M$57,MATCH(O113,【参考】数式用!$G$3:$M$3,0)+6,0),"")</f>
        <v/>
      </c>
      <c r="Q113" s="341" t="s">
        <v>113</v>
      </c>
      <c r="R113" s="342"/>
      <c r="S113" s="343" t="s">
        <v>178</v>
      </c>
      <c r="T113" s="342"/>
      <c r="U113" s="343" t="s">
        <v>179</v>
      </c>
      <c r="V113" s="342"/>
      <c r="W113" s="343" t="s">
        <v>178</v>
      </c>
      <c r="X113" s="342"/>
      <c r="Y113" s="343" t="s">
        <v>180</v>
      </c>
      <c r="Z113" s="343" t="s">
        <v>181</v>
      </c>
      <c r="AA113" s="343" t="str">
        <f t="shared" si="64"/>
        <v/>
      </c>
      <c r="AB113" s="344" t="s">
        <v>182</v>
      </c>
      <c r="AC113" s="345" t="str">
        <f t="shared" si="48"/>
        <v/>
      </c>
      <c r="AD113" s="504" t="str">
        <f t="shared" si="49"/>
        <v/>
      </c>
      <c r="AE113" s="346" t="str">
        <f>IFERROR(ROUNDDOWN(ROUNDDOWN(ROUND(L113*VLOOKUP(K113,【参考】数式用!$A$2:$M$57,MATCH("処遇改善加算Ⅳ",【参考】数式用!$G$3:$M$3,0)+6,0),0),0)*AA113*0.5,0), "")</f>
        <v/>
      </c>
      <c r="AF113" s="347"/>
      <c r="AG113" s="348"/>
      <c r="AH113" s="348"/>
      <c r="AI113" s="347"/>
      <c r="AJ113" s="383"/>
      <c r="AK113" s="349"/>
      <c r="AL113" s="327" t="str">
        <f t="shared" si="65"/>
        <v/>
      </c>
      <c r="AM113" s="328" t="str">
        <f t="shared" si="50"/>
        <v/>
      </c>
      <c r="AN113" s="258"/>
      <c r="AO113" s="551" t="str">
        <f>IFERROR(VLOOKUP(K113,【参考】数式用!$A$2:$N$57,14,FALSE),"")</f>
        <v/>
      </c>
      <c r="AP113" s="551" t="str">
        <f t="shared" si="51"/>
        <v/>
      </c>
      <c r="AQ113" s="556" t="str">
        <f t="shared" si="39"/>
        <v/>
      </c>
      <c r="AR113" s="556" t="str">
        <f t="shared" si="63"/>
        <v>キャリアパス要件Ⅰ・Ⅱ_</v>
      </c>
      <c r="AS113" s="534" t="str">
        <f t="shared" si="40"/>
        <v>入力済</v>
      </c>
      <c r="AT113" s="551" t="str">
        <f t="shared" si="52"/>
        <v/>
      </c>
      <c r="AU113" s="534" t="str">
        <f t="shared" si="41"/>
        <v>入力済</v>
      </c>
      <c r="AV113" s="534" t="str">
        <f t="shared" si="42"/>
        <v/>
      </c>
      <c r="AW113" s="534" t="str">
        <f t="shared" si="53"/>
        <v/>
      </c>
      <c r="AX113" s="551" t="str">
        <f t="shared" si="66"/>
        <v/>
      </c>
      <c r="AY113" s="534" t="str">
        <f>IFERROR(VLOOKUP(K113,【参考】数式用!$AR$3:$AS$49, 2, FALSE), "")</f>
        <v/>
      </c>
      <c r="AZ113" s="551" t="str">
        <f t="shared" si="54"/>
        <v/>
      </c>
      <c r="BA113" s="555" t="str">
        <f t="shared" si="44"/>
        <v>入力済</v>
      </c>
      <c r="BB113" s="534" t="str">
        <f>IFERROR(VLOOKUP(K113,【参考】数式用!$AX$3:$AY$59, 2, FALSE), "")</f>
        <v/>
      </c>
      <c r="BC113" s="551" t="str">
        <f t="shared" si="55"/>
        <v/>
      </c>
      <c r="BD113" s="555" t="str">
        <f t="shared" si="45"/>
        <v>入力済</v>
      </c>
      <c r="BE113" s="555" t="str">
        <f t="shared" si="56"/>
        <v/>
      </c>
      <c r="BF113" s="555" t="str">
        <f t="shared" si="57"/>
        <v/>
      </c>
      <c r="BG113" s="555" t="str">
        <f t="shared" si="58"/>
        <v/>
      </c>
      <c r="BH113" s="555" t="str">
        <f t="shared" si="67"/>
        <v/>
      </c>
      <c r="BI113" s="555" t="str">
        <f t="shared" si="47"/>
        <v/>
      </c>
      <c r="BL113" t="str">
        <f t="shared" si="59"/>
        <v/>
      </c>
      <c r="BM113" t="str">
        <f t="shared" si="60"/>
        <v/>
      </c>
      <c r="BN113" t="str">
        <f t="shared" si="61"/>
        <v/>
      </c>
      <c r="BO113" s="562" t="str">
        <f>IF(BN113="対象",ROUNDDOWN(L113*VLOOKUP(K113,【参考】数式用!$A$4:$J$42,10,FALSE)*AA113,0),"")</f>
        <v/>
      </c>
      <c r="BP113" t="str">
        <f t="shared" si="62"/>
        <v/>
      </c>
    </row>
    <row r="114" spans="1:68">
      <c r="AP114" s="551" t="str">
        <f t="shared" si="51"/>
        <v/>
      </c>
      <c r="BM114" t="str">
        <f t="shared" si="60"/>
        <v/>
      </c>
      <c r="BN114" t="str">
        <f t="shared" si="61"/>
        <v/>
      </c>
      <c r="BO114" s="562" t="str">
        <f>IF(BN114="対象",ROUNDDOWN(L114*VLOOKUP(K114,【参考】数式用!$A$4:$J$42,10,FALSE)*AA114,0),"")</f>
        <v/>
      </c>
      <c r="BP114" t="str">
        <f t="shared" si="62"/>
        <v/>
      </c>
    </row>
    <row r="115" spans="1:68">
      <c r="BN115" t="str">
        <f t="shared" si="61"/>
        <v/>
      </c>
      <c r="BO115" s="562" t="str">
        <f>IF(BN115="対象",ROUNDDOWN(L115*VLOOKUP(K115,【参考】数式用!$A$4:$J$42,10,FALSE)*AA115,0),"")</f>
        <v/>
      </c>
      <c r="BP115" t="str">
        <f t="shared" si="62"/>
        <v/>
      </c>
    </row>
  </sheetData>
  <sheetProtection formatCells="0" formatColumns="0" formatRows="0" sort="0" autoFilter="0"/>
  <dataConsolidate/>
  <mergeCells count="14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AL12:AM12"/>
    <mergeCell ref="B13:F13"/>
    <mergeCell ref="B14:F14"/>
    <mergeCell ref="B15:F15"/>
    <mergeCell ref="M11:N11"/>
    <mergeCell ref="O11:O12"/>
    <mergeCell ref="P11:P12"/>
    <mergeCell ref="Q11:AB12"/>
    <mergeCell ref="AC11:AC12"/>
    <mergeCell ref="AD11:AD12"/>
    <mergeCell ref="AE10:AF10"/>
    <mergeCell ref="A11:A12"/>
    <mergeCell ref="B11:F12"/>
    <mergeCell ref="G11:G12"/>
    <mergeCell ref="H11:I11"/>
    <mergeCell ref="J11:J12"/>
    <mergeCell ref="K11:K12"/>
    <mergeCell ref="L11:L12"/>
    <mergeCell ref="AE11:AF11"/>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3:C3"/>
    <mergeCell ref="D3:J3"/>
    <mergeCell ref="AG4:AK4"/>
    <mergeCell ref="A5:J5"/>
    <mergeCell ref="L5:M5"/>
    <mergeCell ref="N5:O5"/>
    <mergeCell ref="AG5:AJ5"/>
    <mergeCell ref="A8:J8"/>
    <mergeCell ref="K8:O8"/>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V13:V113 R13:R115" xr:uid="{8F6810F2-D63E-4326-8797-07EBB859EA45}">
      <formula1>"8,9"</formula1>
    </dataValidation>
    <dataValidation type="list" imeMode="halfAlpha" allowBlank="1" showDropDown="1" showInputMessage="1" showErrorMessage="1" error="このセルには１～３または６～12_x000a_の数字しか入力できません。" sqref="X13:X113 T13:T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B47" sqref="B47:AJ47"/>
    </sheetView>
  </sheetViews>
  <sheetFormatPr defaultColWidth="9.88671875" defaultRowHeight="13.2"/>
  <cols>
    <col min="1" max="1" width="7.33203125" style="73" customWidth="1"/>
    <col min="2" max="2" width="19.88671875" style="73" customWidth="1"/>
    <col min="3" max="3" width="37.6640625" style="73" customWidth="1"/>
    <col min="4" max="4" width="47.33203125" style="73" customWidth="1"/>
    <col min="5" max="5" width="42.33203125" style="73" customWidth="1"/>
    <col min="6" max="6" width="42.88671875" style="73" customWidth="1"/>
    <col min="7" max="7" width="16.33203125" style="73" customWidth="1"/>
    <col min="8" max="8" width="44.6640625" style="73" customWidth="1"/>
    <col min="9" max="9" width="40.33203125" style="73" customWidth="1"/>
    <col min="10" max="10" width="9.88671875" style="70"/>
    <col min="11" max="229" width="9.88671875" style="64"/>
    <col min="230" max="230" width="8.33203125" style="64" customWidth="1"/>
    <col min="231" max="231" width="14" style="64" customWidth="1"/>
    <col min="232" max="232" width="17.88671875" style="64" customWidth="1"/>
    <col min="233" max="233" width="45" style="64" bestFit="1" customWidth="1"/>
    <col min="234" max="234" width="61.6640625" style="64" customWidth="1"/>
    <col min="235" max="235" width="20.33203125" style="64" customWidth="1"/>
    <col min="236" max="236" width="22.88671875" style="64" customWidth="1"/>
    <col min="237" max="237" width="25.109375" style="64" customWidth="1"/>
    <col min="238" max="485" width="9.88671875" style="64"/>
    <col min="486" max="486" width="8.33203125" style="64" customWidth="1"/>
    <col min="487" max="487" width="14" style="64" customWidth="1"/>
    <col min="488" max="488" width="17.88671875" style="64" customWidth="1"/>
    <col min="489" max="489" width="45" style="64" bestFit="1" customWidth="1"/>
    <col min="490" max="490" width="61.6640625" style="64" customWidth="1"/>
    <col min="491" max="491" width="20.33203125" style="64" customWidth="1"/>
    <col min="492" max="492" width="22.88671875" style="64" customWidth="1"/>
    <col min="493" max="493" width="25.109375" style="64" customWidth="1"/>
    <col min="494" max="741" width="9.88671875" style="64"/>
    <col min="742" max="742" width="8.33203125" style="64" customWidth="1"/>
    <col min="743" max="743" width="14" style="64" customWidth="1"/>
    <col min="744" max="744" width="17.88671875" style="64" customWidth="1"/>
    <col min="745" max="745" width="45" style="64" bestFit="1" customWidth="1"/>
    <col min="746" max="746" width="61.6640625" style="64" customWidth="1"/>
    <col min="747" max="747" width="20.33203125" style="64" customWidth="1"/>
    <col min="748" max="748" width="22.88671875" style="64" customWidth="1"/>
    <col min="749" max="749" width="25.109375" style="64" customWidth="1"/>
    <col min="750" max="997" width="9.88671875" style="64"/>
    <col min="998" max="998" width="8.33203125" style="64" customWidth="1"/>
    <col min="999" max="999" width="14" style="64" customWidth="1"/>
    <col min="1000" max="1000" width="17.88671875" style="64" customWidth="1"/>
    <col min="1001" max="1001" width="45" style="64" bestFit="1" customWidth="1"/>
    <col min="1002" max="1002" width="61.6640625" style="64" customWidth="1"/>
    <col min="1003" max="1003" width="20.33203125" style="64" customWidth="1"/>
    <col min="1004" max="1004" width="22.88671875" style="64" customWidth="1"/>
    <col min="1005" max="1005" width="25.109375" style="64" customWidth="1"/>
    <col min="1006" max="1253" width="9.88671875" style="64"/>
    <col min="1254" max="1254" width="8.33203125" style="64" customWidth="1"/>
    <col min="1255" max="1255" width="14" style="64" customWidth="1"/>
    <col min="1256" max="1256" width="17.88671875" style="64" customWidth="1"/>
    <col min="1257" max="1257" width="45" style="64" bestFit="1" customWidth="1"/>
    <col min="1258" max="1258" width="61.6640625" style="64" customWidth="1"/>
    <col min="1259" max="1259" width="20.33203125" style="64" customWidth="1"/>
    <col min="1260" max="1260" width="22.88671875" style="64" customWidth="1"/>
    <col min="1261" max="1261" width="25.109375" style="64" customWidth="1"/>
    <col min="1262" max="1509" width="9.88671875" style="64"/>
    <col min="1510" max="1510" width="8.33203125" style="64" customWidth="1"/>
    <col min="1511" max="1511" width="14" style="64" customWidth="1"/>
    <col min="1512" max="1512" width="17.88671875" style="64" customWidth="1"/>
    <col min="1513" max="1513" width="45" style="64" bestFit="1" customWidth="1"/>
    <col min="1514" max="1514" width="61.6640625" style="64" customWidth="1"/>
    <col min="1515" max="1515" width="20.33203125" style="64" customWidth="1"/>
    <col min="1516" max="1516" width="22.88671875" style="64" customWidth="1"/>
    <col min="1517" max="1517" width="25.109375" style="64" customWidth="1"/>
    <col min="1518" max="1765" width="9.88671875" style="64"/>
    <col min="1766" max="1766" width="8.33203125" style="64" customWidth="1"/>
    <col min="1767" max="1767" width="14" style="64" customWidth="1"/>
    <col min="1768" max="1768" width="17.88671875" style="64" customWidth="1"/>
    <col min="1769" max="1769" width="45" style="64" bestFit="1" customWidth="1"/>
    <col min="1770" max="1770" width="61.6640625" style="64" customWidth="1"/>
    <col min="1771" max="1771" width="20.33203125" style="64" customWidth="1"/>
    <col min="1772" max="1772" width="22.88671875" style="64" customWidth="1"/>
    <col min="1773" max="1773" width="25.109375" style="64" customWidth="1"/>
    <col min="1774" max="2021" width="9.88671875" style="64"/>
    <col min="2022" max="2022" width="8.33203125" style="64" customWidth="1"/>
    <col min="2023" max="2023" width="14" style="64" customWidth="1"/>
    <col min="2024" max="2024" width="17.88671875" style="64" customWidth="1"/>
    <col min="2025" max="2025" width="45" style="64" bestFit="1" customWidth="1"/>
    <col min="2026" max="2026" width="61.6640625" style="64" customWidth="1"/>
    <col min="2027" max="2027" width="20.33203125" style="64" customWidth="1"/>
    <col min="2028" max="2028" width="22.88671875" style="64" customWidth="1"/>
    <col min="2029" max="2029" width="25.109375" style="64" customWidth="1"/>
    <col min="2030" max="2277" width="9.88671875" style="64"/>
    <col min="2278" max="2278" width="8.33203125" style="64" customWidth="1"/>
    <col min="2279" max="2279" width="14" style="64" customWidth="1"/>
    <col min="2280" max="2280" width="17.88671875" style="64" customWidth="1"/>
    <col min="2281" max="2281" width="45" style="64" bestFit="1" customWidth="1"/>
    <col min="2282" max="2282" width="61.6640625" style="64" customWidth="1"/>
    <col min="2283" max="2283" width="20.33203125" style="64" customWidth="1"/>
    <col min="2284" max="2284" width="22.88671875" style="64" customWidth="1"/>
    <col min="2285" max="2285" width="25.109375" style="64" customWidth="1"/>
    <col min="2286" max="2533" width="9.88671875" style="64"/>
    <col min="2534" max="2534" width="8.33203125" style="64" customWidth="1"/>
    <col min="2535" max="2535" width="14" style="64" customWidth="1"/>
    <col min="2536" max="2536" width="17.88671875" style="64" customWidth="1"/>
    <col min="2537" max="2537" width="45" style="64" bestFit="1" customWidth="1"/>
    <col min="2538" max="2538" width="61.6640625" style="64" customWidth="1"/>
    <col min="2539" max="2539" width="20.33203125" style="64" customWidth="1"/>
    <col min="2540" max="2540" width="22.88671875" style="64" customWidth="1"/>
    <col min="2541" max="2541" width="25.109375" style="64" customWidth="1"/>
    <col min="2542" max="2789" width="9.88671875" style="64"/>
    <col min="2790" max="2790" width="8.33203125" style="64" customWidth="1"/>
    <col min="2791" max="2791" width="14" style="64" customWidth="1"/>
    <col min="2792" max="2792" width="17.88671875" style="64" customWidth="1"/>
    <col min="2793" max="2793" width="45" style="64" bestFit="1" customWidth="1"/>
    <col min="2794" max="2794" width="61.6640625" style="64" customWidth="1"/>
    <col min="2795" max="2795" width="20.33203125" style="64" customWidth="1"/>
    <col min="2796" max="2796" width="22.88671875" style="64" customWidth="1"/>
    <col min="2797" max="2797" width="25.109375" style="64" customWidth="1"/>
    <col min="2798" max="3045" width="9.88671875" style="64"/>
    <col min="3046" max="3046" width="8.33203125" style="64" customWidth="1"/>
    <col min="3047" max="3047" width="14" style="64" customWidth="1"/>
    <col min="3048" max="3048" width="17.88671875" style="64" customWidth="1"/>
    <col min="3049" max="3049" width="45" style="64" bestFit="1" customWidth="1"/>
    <col min="3050" max="3050" width="61.6640625" style="64" customWidth="1"/>
    <col min="3051" max="3051" width="20.33203125" style="64" customWidth="1"/>
    <col min="3052" max="3052" width="22.88671875" style="64" customWidth="1"/>
    <col min="3053" max="3053" width="25.109375" style="64" customWidth="1"/>
    <col min="3054" max="3301" width="9.88671875" style="64"/>
    <col min="3302" max="3302" width="8.33203125" style="64" customWidth="1"/>
    <col min="3303" max="3303" width="14" style="64" customWidth="1"/>
    <col min="3304" max="3304" width="17.88671875" style="64" customWidth="1"/>
    <col min="3305" max="3305" width="45" style="64" bestFit="1" customWidth="1"/>
    <col min="3306" max="3306" width="61.6640625" style="64" customWidth="1"/>
    <col min="3307" max="3307" width="20.33203125" style="64" customWidth="1"/>
    <col min="3308" max="3308" width="22.88671875" style="64" customWidth="1"/>
    <col min="3309" max="3309" width="25.109375" style="64" customWidth="1"/>
    <col min="3310" max="3557" width="9.88671875" style="64"/>
    <col min="3558" max="3558" width="8.33203125" style="64" customWidth="1"/>
    <col min="3559" max="3559" width="14" style="64" customWidth="1"/>
    <col min="3560" max="3560" width="17.88671875" style="64" customWidth="1"/>
    <col min="3561" max="3561" width="45" style="64" bestFit="1" customWidth="1"/>
    <col min="3562" max="3562" width="61.6640625" style="64" customWidth="1"/>
    <col min="3563" max="3563" width="20.33203125" style="64" customWidth="1"/>
    <col min="3564" max="3564" width="22.88671875" style="64" customWidth="1"/>
    <col min="3565" max="3565" width="25.109375" style="64" customWidth="1"/>
    <col min="3566" max="3813" width="9.88671875" style="64"/>
    <col min="3814" max="3814" width="8.33203125" style="64" customWidth="1"/>
    <col min="3815" max="3815" width="14" style="64" customWidth="1"/>
    <col min="3816" max="3816" width="17.88671875" style="64" customWidth="1"/>
    <col min="3817" max="3817" width="45" style="64" bestFit="1" customWidth="1"/>
    <col min="3818" max="3818" width="61.6640625" style="64" customWidth="1"/>
    <col min="3819" max="3819" width="20.33203125" style="64" customWidth="1"/>
    <col min="3820" max="3820" width="22.88671875" style="64" customWidth="1"/>
    <col min="3821" max="3821" width="25.109375" style="64" customWidth="1"/>
    <col min="3822" max="4069" width="9.88671875" style="64"/>
    <col min="4070" max="4070" width="8.33203125" style="64" customWidth="1"/>
    <col min="4071" max="4071" width="14" style="64" customWidth="1"/>
    <col min="4072" max="4072" width="17.88671875" style="64" customWidth="1"/>
    <col min="4073" max="4073" width="45" style="64" bestFit="1" customWidth="1"/>
    <col min="4074" max="4074" width="61.6640625" style="64" customWidth="1"/>
    <col min="4075" max="4075" width="20.33203125" style="64" customWidth="1"/>
    <col min="4076" max="4076" width="22.88671875" style="64" customWidth="1"/>
    <col min="4077" max="4077" width="25.109375" style="64" customWidth="1"/>
    <col min="4078" max="4325" width="9.88671875" style="64"/>
    <col min="4326" max="4326" width="8.33203125" style="64" customWidth="1"/>
    <col min="4327" max="4327" width="14" style="64" customWidth="1"/>
    <col min="4328" max="4328" width="17.88671875" style="64" customWidth="1"/>
    <col min="4329" max="4329" width="45" style="64" bestFit="1" customWidth="1"/>
    <col min="4330" max="4330" width="61.6640625" style="64" customWidth="1"/>
    <col min="4331" max="4331" width="20.33203125" style="64" customWidth="1"/>
    <col min="4332" max="4332" width="22.88671875" style="64" customWidth="1"/>
    <col min="4333" max="4333" width="25.109375" style="64" customWidth="1"/>
    <col min="4334" max="4581" width="9.88671875" style="64"/>
    <col min="4582" max="4582" width="8.33203125" style="64" customWidth="1"/>
    <col min="4583" max="4583" width="14" style="64" customWidth="1"/>
    <col min="4584" max="4584" width="17.88671875" style="64" customWidth="1"/>
    <col min="4585" max="4585" width="45" style="64" bestFit="1" customWidth="1"/>
    <col min="4586" max="4586" width="61.6640625" style="64" customWidth="1"/>
    <col min="4587" max="4587" width="20.33203125" style="64" customWidth="1"/>
    <col min="4588" max="4588" width="22.88671875" style="64" customWidth="1"/>
    <col min="4589" max="4589" width="25.109375" style="64" customWidth="1"/>
    <col min="4590" max="4837" width="9.88671875" style="64"/>
    <col min="4838" max="4838" width="8.33203125" style="64" customWidth="1"/>
    <col min="4839" max="4839" width="14" style="64" customWidth="1"/>
    <col min="4840" max="4840" width="17.88671875" style="64" customWidth="1"/>
    <col min="4841" max="4841" width="45" style="64" bestFit="1" customWidth="1"/>
    <col min="4842" max="4842" width="61.6640625" style="64" customWidth="1"/>
    <col min="4843" max="4843" width="20.33203125" style="64" customWidth="1"/>
    <col min="4844" max="4844" width="22.88671875" style="64" customWidth="1"/>
    <col min="4845" max="4845" width="25.109375" style="64" customWidth="1"/>
    <col min="4846" max="5093" width="9.88671875" style="64"/>
    <col min="5094" max="5094" width="8.33203125" style="64" customWidth="1"/>
    <col min="5095" max="5095" width="14" style="64" customWidth="1"/>
    <col min="5096" max="5096" width="17.88671875" style="64" customWidth="1"/>
    <col min="5097" max="5097" width="45" style="64" bestFit="1" customWidth="1"/>
    <col min="5098" max="5098" width="61.6640625" style="64" customWidth="1"/>
    <col min="5099" max="5099" width="20.33203125" style="64" customWidth="1"/>
    <col min="5100" max="5100" width="22.88671875" style="64" customWidth="1"/>
    <col min="5101" max="5101" width="25.109375" style="64" customWidth="1"/>
    <col min="5102" max="5349" width="9.88671875" style="64"/>
    <col min="5350" max="5350" width="8.33203125" style="64" customWidth="1"/>
    <col min="5351" max="5351" width="14" style="64" customWidth="1"/>
    <col min="5352" max="5352" width="17.88671875" style="64" customWidth="1"/>
    <col min="5353" max="5353" width="45" style="64" bestFit="1" customWidth="1"/>
    <col min="5354" max="5354" width="61.6640625" style="64" customWidth="1"/>
    <col min="5355" max="5355" width="20.33203125" style="64" customWidth="1"/>
    <col min="5356" max="5356" width="22.88671875" style="64" customWidth="1"/>
    <col min="5357" max="5357" width="25.109375" style="64" customWidth="1"/>
    <col min="5358" max="5605" width="9.88671875" style="64"/>
    <col min="5606" max="5606" width="8.33203125" style="64" customWidth="1"/>
    <col min="5607" max="5607" width="14" style="64" customWidth="1"/>
    <col min="5608" max="5608" width="17.88671875" style="64" customWidth="1"/>
    <col min="5609" max="5609" width="45" style="64" bestFit="1" customWidth="1"/>
    <col min="5610" max="5610" width="61.6640625" style="64" customWidth="1"/>
    <col min="5611" max="5611" width="20.33203125" style="64" customWidth="1"/>
    <col min="5612" max="5612" width="22.88671875" style="64" customWidth="1"/>
    <col min="5613" max="5613" width="25.109375" style="64" customWidth="1"/>
    <col min="5614" max="5861" width="9.88671875" style="64"/>
    <col min="5862" max="5862" width="8.33203125" style="64" customWidth="1"/>
    <col min="5863" max="5863" width="14" style="64" customWidth="1"/>
    <col min="5864" max="5864" width="17.88671875" style="64" customWidth="1"/>
    <col min="5865" max="5865" width="45" style="64" bestFit="1" customWidth="1"/>
    <col min="5866" max="5866" width="61.6640625" style="64" customWidth="1"/>
    <col min="5867" max="5867" width="20.33203125" style="64" customWidth="1"/>
    <col min="5868" max="5868" width="22.88671875" style="64" customWidth="1"/>
    <col min="5869" max="5869" width="25.109375" style="64" customWidth="1"/>
    <col min="5870" max="6117" width="9.88671875" style="64"/>
    <col min="6118" max="6118" width="8.33203125" style="64" customWidth="1"/>
    <col min="6119" max="6119" width="14" style="64" customWidth="1"/>
    <col min="6120" max="6120" width="17.88671875" style="64" customWidth="1"/>
    <col min="6121" max="6121" width="45" style="64" bestFit="1" customWidth="1"/>
    <col min="6122" max="6122" width="61.6640625" style="64" customWidth="1"/>
    <col min="6123" max="6123" width="20.33203125" style="64" customWidth="1"/>
    <col min="6124" max="6124" width="22.88671875" style="64" customWidth="1"/>
    <col min="6125" max="6125" width="25.109375" style="64" customWidth="1"/>
    <col min="6126" max="6373" width="9.88671875" style="64"/>
    <col min="6374" max="6374" width="8.33203125" style="64" customWidth="1"/>
    <col min="6375" max="6375" width="14" style="64" customWidth="1"/>
    <col min="6376" max="6376" width="17.88671875" style="64" customWidth="1"/>
    <col min="6377" max="6377" width="45" style="64" bestFit="1" customWidth="1"/>
    <col min="6378" max="6378" width="61.6640625" style="64" customWidth="1"/>
    <col min="6379" max="6379" width="20.33203125" style="64" customWidth="1"/>
    <col min="6380" max="6380" width="22.88671875" style="64" customWidth="1"/>
    <col min="6381" max="6381" width="25.109375" style="64" customWidth="1"/>
    <col min="6382" max="6629" width="9.88671875" style="64"/>
    <col min="6630" max="6630" width="8.33203125" style="64" customWidth="1"/>
    <col min="6631" max="6631" width="14" style="64" customWidth="1"/>
    <col min="6632" max="6632" width="17.88671875" style="64" customWidth="1"/>
    <col min="6633" max="6633" width="45" style="64" bestFit="1" customWidth="1"/>
    <col min="6634" max="6634" width="61.6640625" style="64" customWidth="1"/>
    <col min="6635" max="6635" width="20.33203125" style="64" customWidth="1"/>
    <col min="6636" max="6636" width="22.88671875" style="64" customWidth="1"/>
    <col min="6637" max="6637" width="25.109375" style="64" customWidth="1"/>
    <col min="6638" max="6885" width="9.88671875" style="64"/>
    <col min="6886" max="6886" width="8.33203125" style="64" customWidth="1"/>
    <col min="6887" max="6887" width="14" style="64" customWidth="1"/>
    <col min="6888" max="6888" width="17.88671875" style="64" customWidth="1"/>
    <col min="6889" max="6889" width="45" style="64" bestFit="1" customWidth="1"/>
    <col min="6890" max="6890" width="61.6640625" style="64" customWidth="1"/>
    <col min="6891" max="6891" width="20.33203125" style="64" customWidth="1"/>
    <col min="6892" max="6892" width="22.88671875" style="64" customWidth="1"/>
    <col min="6893" max="6893" width="25.109375" style="64" customWidth="1"/>
    <col min="6894" max="7141" width="9.88671875" style="64"/>
    <col min="7142" max="7142" width="8.33203125" style="64" customWidth="1"/>
    <col min="7143" max="7143" width="14" style="64" customWidth="1"/>
    <col min="7144" max="7144" width="17.88671875" style="64" customWidth="1"/>
    <col min="7145" max="7145" width="45" style="64" bestFit="1" customWidth="1"/>
    <col min="7146" max="7146" width="61.6640625" style="64" customWidth="1"/>
    <col min="7147" max="7147" width="20.33203125" style="64" customWidth="1"/>
    <col min="7148" max="7148" width="22.88671875" style="64" customWidth="1"/>
    <col min="7149" max="7149" width="25.109375" style="64" customWidth="1"/>
    <col min="7150" max="7397" width="9.88671875" style="64"/>
    <col min="7398" max="7398" width="8.33203125" style="64" customWidth="1"/>
    <col min="7399" max="7399" width="14" style="64" customWidth="1"/>
    <col min="7400" max="7400" width="17.88671875" style="64" customWidth="1"/>
    <col min="7401" max="7401" width="45" style="64" bestFit="1" customWidth="1"/>
    <col min="7402" max="7402" width="61.6640625" style="64" customWidth="1"/>
    <col min="7403" max="7403" width="20.33203125" style="64" customWidth="1"/>
    <col min="7404" max="7404" width="22.88671875" style="64" customWidth="1"/>
    <col min="7405" max="7405" width="25.109375" style="64" customWidth="1"/>
    <col min="7406" max="7653" width="9.88671875" style="64"/>
    <col min="7654" max="7654" width="8.33203125" style="64" customWidth="1"/>
    <col min="7655" max="7655" width="14" style="64" customWidth="1"/>
    <col min="7656" max="7656" width="17.88671875" style="64" customWidth="1"/>
    <col min="7657" max="7657" width="45" style="64" bestFit="1" customWidth="1"/>
    <col min="7658" max="7658" width="61.6640625" style="64" customWidth="1"/>
    <col min="7659" max="7659" width="20.33203125" style="64" customWidth="1"/>
    <col min="7660" max="7660" width="22.88671875" style="64" customWidth="1"/>
    <col min="7661" max="7661" width="25.109375" style="64" customWidth="1"/>
    <col min="7662" max="7909" width="9.88671875" style="64"/>
    <col min="7910" max="7910" width="8.33203125" style="64" customWidth="1"/>
    <col min="7911" max="7911" width="14" style="64" customWidth="1"/>
    <col min="7912" max="7912" width="17.88671875" style="64" customWidth="1"/>
    <col min="7913" max="7913" width="45" style="64" bestFit="1" customWidth="1"/>
    <col min="7914" max="7914" width="61.6640625" style="64" customWidth="1"/>
    <col min="7915" max="7915" width="20.33203125" style="64" customWidth="1"/>
    <col min="7916" max="7916" width="22.88671875" style="64" customWidth="1"/>
    <col min="7917" max="7917" width="25.109375" style="64" customWidth="1"/>
    <col min="7918" max="8165" width="9.88671875" style="64"/>
    <col min="8166" max="8166" width="8.33203125" style="64" customWidth="1"/>
    <col min="8167" max="8167" width="14" style="64" customWidth="1"/>
    <col min="8168" max="8168" width="17.88671875" style="64" customWidth="1"/>
    <col min="8169" max="8169" width="45" style="64" bestFit="1" customWidth="1"/>
    <col min="8170" max="8170" width="61.6640625" style="64" customWidth="1"/>
    <col min="8171" max="8171" width="20.33203125" style="64" customWidth="1"/>
    <col min="8172" max="8172" width="22.88671875" style="64" customWidth="1"/>
    <col min="8173" max="8173" width="25.109375" style="64" customWidth="1"/>
    <col min="8174" max="8421" width="9.88671875" style="64"/>
    <col min="8422" max="8422" width="8.33203125" style="64" customWidth="1"/>
    <col min="8423" max="8423" width="14" style="64" customWidth="1"/>
    <col min="8424" max="8424" width="17.88671875" style="64" customWidth="1"/>
    <col min="8425" max="8425" width="45" style="64" bestFit="1" customWidth="1"/>
    <col min="8426" max="8426" width="61.6640625" style="64" customWidth="1"/>
    <col min="8427" max="8427" width="20.33203125" style="64" customWidth="1"/>
    <col min="8428" max="8428" width="22.88671875" style="64" customWidth="1"/>
    <col min="8429" max="8429" width="25.109375" style="64" customWidth="1"/>
    <col min="8430" max="8677" width="9.88671875" style="64"/>
    <col min="8678" max="8678" width="8.33203125" style="64" customWidth="1"/>
    <col min="8679" max="8679" width="14" style="64" customWidth="1"/>
    <col min="8680" max="8680" width="17.88671875" style="64" customWidth="1"/>
    <col min="8681" max="8681" width="45" style="64" bestFit="1" customWidth="1"/>
    <col min="8682" max="8682" width="61.6640625" style="64" customWidth="1"/>
    <col min="8683" max="8683" width="20.33203125" style="64" customWidth="1"/>
    <col min="8684" max="8684" width="22.88671875" style="64" customWidth="1"/>
    <col min="8685" max="8685" width="25.109375" style="64" customWidth="1"/>
    <col min="8686" max="8933" width="9.88671875" style="64"/>
    <col min="8934" max="8934" width="8.33203125" style="64" customWidth="1"/>
    <col min="8935" max="8935" width="14" style="64" customWidth="1"/>
    <col min="8936" max="8936" width="17.88671875" style="64" customWidth="1"/>
    <col min="8937" max="8937" width="45" style="64" bestFit="1" customWidth="1"/>
    <col min="8938" max="8938" width="61.6640625" style="64" customWidth="1"/>
    <col min="8939" max="8939" width="20.33203125" style="64" customWidth="1"/>
    <col min="8940" max="8940" width="22.88671875" style="64" customWidth="1"/>
    <col min="8941" max="8941" width="25.109375" style="64" customWidth="1"/>
    <col min="8942" max="9189" width="9.88671875" style="64"/>
    <col min="9190" max="9190" width="8.33203125" style="64" customWidth="1"/>
    <col min="9191" max="9191" width="14" style="64" customWidth="1"/>
    <col min="9192" max="9192" width="17.88671875" style="64" customWidth="1"/>
    <col min="9193" max="9193" width="45" style="64" bestFit="1" customWidth="1"/>
    <col min="9194" max="9194" width="61.6640625" style="64" customWidth="1"/>
    <col min="9195" max="9195" width="20.33203125" style="64" customWidth="1"/>
    <col min="9196" max="9196" width="22.88671875" style="64" customWidth="1"/>
    <col min="9197" max="9197" width="25.109375" style="64" customWidth="1"/>
    <col min="9198" max="9445" width="9.88671875" style="64"/>
    <col min="9446" max="9446" width="8.33203125" style="64" customWidth="1"/>
    <col min="9447" max="9447" width="14" style="64" customWidth="1"/>
    <col min="9448" max="9448" width="17.88671875" style="64" customWidth="1"/>
    <col min="9449" max="9449" width="45" style="64" bestFit="1" customWidth="1"/>
    <col min="9450" max="9450" width="61.6640625" style="64" customWidth="1"/>
    <col min="9451" max="9451" width="20.33203125" style="64" customWidth="1"/>
    <col min="9452" max="9452" width="22.88671875" style="64" customWidth="1"/>
    <col min="9453" max="9453" width="25.109375" style="64" customWidth="1"/>
    <col min="9454" max="9701" width="9.88671875" style="64"/>
    <col min="9702" max="9702" width="8.33203125" style="64" customWidth="1"/>
    <col min="9703" max="9703" width="14" style="64" customWidth="1"/>
    <col min="9704" max="9704" width="17.88671875" style="64" customWidth="1"/>
    <col min="9705" max="9705" width="45" style="64" bestFit="1" customWidth="1"/>
    <col min="9706" max="9706" width="61.6640625" style="64" customWidth="1"/>
    <col min="9707" max="9707" width="20.33203125" style="64" customWidth="1"/>
    <col min="9708" max="9708" width="22.88671875" style="64" customWidth="1"/>
    <col min="9709" max="9709" width="25.109375" style="64" customWidth="1"/>
    <col min="9710" max="9957" width="9.88671875" style="64"/>
    <col min="9958" max="9958" width="8.33203125" style="64" customWidth="1"/>
    <col min="9959" max="9959" width="14" style="64" customWidth="1"/>
    <col min="9960" max="9960" width="17.88671875" style="64" customWidth="1"/>
    <col min="9961" max="9961" width="45" style="64" bestFit="1" customWidth="1"/>
    <col min="9962" max="9962" width="61.6640625" style="64" customWidth="1"/>
    <col min="9963" max="9963" width="20.33203125" style="64" customWidth="1"/>
    <col min="9964" max="9964" width="22.88671875" style="64" customWidth="1"/>
    <col min="9965" max="9965" width="25.109375" style="64" customWidth="1"/>
    <col min="9966" max="10213" width="9.88671875" style="64"/>
    <col min="10214" max="10214" width="8.33203125" style="64" customWidth="1"/>
    <col min="10215" max="10215" width="14" style="64" customWidth="1"/>
    <col min="10216" max="10216" width="17.88671875" style="64" customWidth="1"/>
    <col min="10217" max="10217" width="45" style="64" bestFit="1" customWidth="1"/>
    <col min="10218" max="10218" width="61.6640625" style="64" customWidth="1"/>
    <col min="10219" max="10219" width="20.33203125" style="64" customWidth="1"/>
    <col min="10220" max="10220" width="22.88671875" style="64" customWidth="1"/>
    <col min="10221" max="10221" width="25.109375" style="64" customWidth="1"/>
    <col min="10222" max="10469" width="9.88671875" style="64"/>
    <col min="10470" max="10470" width="8.33203125" style="64" customWidth="1"/>
    <col min="10471" max="10471" width="14" style="64" customWidth="1"/>
    <col min="10472" max="10472" width="17.88671875" style="64" customWidth="1"/>
    <col min="10473" max="10473" width="45" style="64" bestFit="1" customWidth="1"/>
    <col min="10474" max="10474" width="61.6640625" style="64" customWidth="1"/>
    <col min="10475" max="10475" width="20.33203125" style="64" customWidth="1"/>
    <col min="10476" max="10476" width="22.88671875" style="64" customWidth="1"/>
    <col min="10477" max="10477" width="25.109375" style="64" customWidth="1"/>
    <col min="10478" max="10725" width="9.88671875" style="64"/>
    <col min="10726" max="10726" width="8.33203125" style="64" customWidth="1"/>
    <col min="10727" max="10727" width="14" style="64" customWidth="1"/>
    <col min="10728" max="10728" width="17.88671875" style="64" customWidth="1"/>
    <col min="10729" max="10729" width="45" style="64" bestFit="1" customWidth="1"/>
    <col min="10730" max="10730" width="61.6640625" style="64" customWidth="1"/>
    <col min="10731" max="10731" width="20.33203125" style="64" customWidth="1"/>
    <col min="10732" max="10732" width="22.88671875" style="64" customWidth="1"/>
    <col min="10733" max="10733" width="25.109375" style="64" customWidth="1"/>
    <col min="10734" max="10981" width="9.88671875" style="64"/>
    <col min="10982" max="10982" width="8.33203125" style="64" customWidth="1"/>
    <col min="10983" max="10983" width="14" style="64" customWidth="1"/>
    <col min="10984" max="10984" width="17.88671875" style="64" customWidth="1"/>
    <col min="10985" max="10985" width="45" style="64" bestFit="1" customWidth="1"/>
    <col min="10986" max="10986" width="61.6640625" style="64" customWidth="1"/>
    <col min="10987" max="10987" width="20.33203125" style="64" customWidth="1"/>
    <col min="10988" max="10988" width="22.88671875" style="64" customWidth="1"/>
    <col min="10989" max="10989" width="25.109375" style="64" customWidth="1"/>
    <col min="10990" max="11237" width="9.88671875" style="64"/>
    <col min="11238" max="11238" width="8.33203125" style="64" customWidth="1"/>
    <col min="11239" max="11239" width="14" style="64" customWidth="1"/>
    <col min="11240" max="11240" width="17.88671875" style="64" customWidth="1"/>
    <col min="11241" max="11241" width="45" style="64" bestFit="1" customWidth="1"/>
    <col min="11242" max="11242" width="61.6640625" style="64" customWidth="1"/>
    <col min="11243" max="11243" width="20.33203125" style="64" customWidth="1"/>
    <col min="11244" max="11244" width="22.88671875" style="64" customWidth="1"/>
    <col min="11245" max="11245" width="25.109375" style="64" customWidth="1"/>
    <col min="11246" max="11493" width="9.88671875" style="64"/>
    <col min="11494" max="11494" width="8.33203125" style="64" customWidth="1"/>
    <col min="11495" max="11495" width="14" style="64" customWidth="1"/>
    <col min="11496" max="11496" width="17.88671875" style="64" customWidth="1"/>
    <col min="11497" max="11497" width="45" style="64" bestFit="1" customWidth="1"/>
    <col min="11498" max="11498" width="61.6640625" style="64" customWidth="1"/>
    <col min="11499" max="11499" width="20.33203125" style="64" customWidth="1"/>
    <col min="11500" max="11500" width="22.88671875" style="64" customWidth="1"/>
    <col min="11501" max="11501" width="25.109375" style="64" customWidth="1"/>
    <col min="11502" max="11749" width="9.88671875" style="64"/>
    <col min="11750" max="11750" width="8.33203125" style="64" customWidth="1"/>
    <col min="11751" max="11751" width="14" style="64" customWidth="1"/>
    <col min="11752" max="11752" width="17.88671875" style="64" customWidth="1"/>
    <col min="11753" max="11753" width="45" style="64" bestFit="1" customWidth="1"/>
    <col min="11754" max="11754" width="61.6640625" style="64" customWidth="1"/>
    <col min="11755" max="11755" width="20.33203125" style="64" customWidth="1"/>
    <col min="11756" max="11756" width="22.88671875" style="64" customWidth="1"/>
    <col min="11757" max="11757" width="25.109375" style="64" customWidth="1"/>
    <col min="11758" max="12005" width="9.88671875" style="64"/>
    <col min="12006" max="12006" width="8.33203125" style="64" customWidth="1"/>
    <col min="12007" max="12007" width="14" style="64" customWidth="1"/>
    <col min="12008" max="12008" width="17.88671875" style="64" customWidth="1"/>
    <col min="12009" max="12009" width="45" style="64" bestFit="1" customWidth="1"/>
    <col min="12010" max="12010" width="61.6640625" style="64" customWidth="1"/>
    <col min="12011" max="12011" width="20.33203125" style="64" customWidth="1"/>
    <col min="12012" max="12012" width="22.88671875" style="64" customWidth="1"/>
    <col min="12013" max="12013" width="25.109375" style="64" customWidth="1"/>
    <col min="12014" max="12261" width="9.88671875" style="64"/>
    <col min="12262" max="12262" width="8.33203125" style="64" customWidth="1"/>
    <col min="12263" max="12263" width="14" style="64" customWidth="1"/>
    <col min="12264" max="12264" width="17.88671875" style="64" customWidth="1"/>
    <col min="12265" max="12265" width="45" style="64" bestFit="1" customWidth="1"/>
    <col min="12266" max="12266" width="61.6640625" style="64" customWidth="1"/>
    <col min="12267" max="12267" width="20.33203125" style="64" customWidth="1"/>
    <col min="12268" max="12268" width="22.88671875" style="64" customWidth="1"/>
    <col min="12269" max="12269" width="25.109375" style="64" customWidth="1"/>
    <col min="12270" max="12517" width="9.88671875" style="64"/>
    <col min="12518" max="12518" width="8.33203125" style="64" customWidth="1"/>
    <col min="12519" max="12519" width="14" style="64" customWidth="1"/>
    <col min="12520" max="12520" width="17.88671875" style="64" customWidth="1"/>
    <col min="12521" max="12521" width="45" style="64" bestFit="1" customWidth="1"/>
    <col min="12522" max="12522" width="61.6640625" style="64" customWidth="1"/>
    <col min="12523" max="12523" width="20.33203125" style="64" customWidth="1"/>
    <col min="12524" max="12524" width="22.88671875" style="64" customWidth="1"/>
    <col min="12525" max="12525" width="25.109375" style="64" customWidth="1"/>
    <col min="12526" max="12773" width="9.88671875" style="64"/>
    <col min="12774" max="12774" width="8.33203125" style="64" customWidth="1"/>
    <col min="12775" max="12775" width="14" style="64" customWidth="1"/>
    <col min="12776" max="12776" width="17.88671875" style="64" customWidth="1"/>
    <col min="12777" max="12777" width="45" style="64" bestFit="1" customWidth="1"/>
    <col min="12778" max="12778" width="61.6640625" style="64" customWidth="1"/>
    <col min="12779" max="12779" width="20.33203125" style="64" customWidth="1"/>
    <col min="12780" max="12780" width="22.88671875" style="64" customWidth="1"/>
    <col min="12781" max="12781" width="25.109375" style="64" customWidth="1"/>
    <col min="12782" max="13029" width="9.88671875" style="64"/>
    <col min="13030" max="13030" width="8.33203125" style="64" customWidth="1"/>
    <col min="13031" max="13031" width="14" style="64" customWidth="1"/>
    <col min="13032" max="13032" width="17.88671875" style="64" customWidth="1"/>
    <col min="13033" max="13033" width="45" style="64" bestFit="1" customWidth="1"/>
    <col min="13034" max="13034" width="61.6640625" style="64" customWidth="1"/>
    <col min="13035" max="13035" width="20.33203125" style="64" customWidth="1"/>
    <col min="13036" max="13036" width="22.88671875" style="64" customWidth="1"/>
    <col min="13037" max="13037" width="25.109375" style="64" customWidth="1"/>
    <col min="13038" max="13285" width="9.88671875" style="64"/>
    <col min="13286" max="13286" width="8.33203125" style="64" customWidth="1"/>
    <col min="13287" max="13287" width="14" style="64" customWidth="1"/>
    <col min="13288" max="13288" width="17.88671875" style="64" customWidth="1"/>
    <col min="13289" max="13289" width="45" style="64" bestFit="1" customWidth="1"/>
    <col min="13290" max="13290" width="61.6640625" style="64" customWidth="1"/>
    <col min="13291" max="13291" width="20.33203125" style="64" customWidth="1"/>
    <col min="13292" max="13292" width="22.88671875" style="64" customWidth="1"/>
    <col min="13293" max="13293" width="25.109375" style="64" customWidth="1"/>
    <col min="13294" max="13541" width="9.88671875" style="64"/>
    <col min="13542" max="13542" width="8.33203125" style="64" customWidth="1"/>
    <col min="13543" max="13543" width="14" style="64" customWidth="1"/>
    <col min="13544" max="13544" width="17.88671875" style="64" customWidth="1"/>
    <col min="13545" max="13545" width="45" style="64" bestFit="1" customWidth="1"/>
    <col min="13546" max="13546" width="61.6640625" style="64" customWidth="1"/>
    <col min="13547" max="13547" width="20.33203125" style="64" customWidth="1"/>
    <col min="13548" max="13548" width="22.88671875" style="64" customWidth="1"/>
    <col min="13549" max="13549" width="25.109375" style="64" customWidth="1"/>
    <col min="13550" max="13797" width="9.88671875" style="64"/>
    <col min="13798" max="13798" width="8.33203125" style="64" customWidth="1"/>
    <col min="13799" max="13799" width="14" style="64" customWidth="1"/>
    <col min="13800" max="13800" width="17.88671875" style="64" customWidth="1"/>
    <col min="13801" max="13801" width="45" style="64" bestFit="1" customWidth="1"/>
    <col min="13802" max="13802" width="61.6640625" style="64" customWidth="1"/>
    <col min="13803" max="13803" width="20.33203125" style="64" customWidth="1"/>
    <col min="13804" max="13804" width="22.88671875" style="64" customWidth="1"/>
    <col min="13805" max="13805" width="25.109375" style="64" customWidth="1"/>
    <col min="13806" max="14053" width="9.88671875" style="64"/>
    <col min="14054" max="14054" width="8.33203125" style="64" customWidth="1"/>
    <col min="14055" max="14055" width="14" style="64" customWidth="1"/>
    <col min="14056" max="14056" width="17.88671875" style="64" customWidth="1"/>
    <col min="14057" max="14057" width="45" style="64" bestFit="1" customWidth="1"/>
    <col min="14058" max="14058" width="61.6640625" style="64" customWidth="1"/>
    <col min="14059" max="14059" width="20.33203125" style="64" customWidth="1"/>
    <col min="14060" max="14060" width="22.88671875" style="64" customWidth="1"/>
    <col min="14061" max="14061" width="25.109375" style="64" customWidth="1"/>
    <col min="14062" max="14309" width="9.88671875" style="64"/>
    <col min="14310" max="14310" width="8.33203125" style="64" customWidth="1"/>
    <col min="14311" max="14311" width="14" style="64" customWidth="1"/>
    <col min="14312" max="14312" width="17.88671875" style="64" customWidth="1"/>
    <col min="14313" max="14313" width="45" style="64" bestFit="1" customWidth="1"/>
    <col min="14314" max="14314" width="61.6640625" style="64" customWidth="1"/>
    <col min="14315" max="14315" width="20.33203125" style="64" customWidth="1"/>
    <col min="14316" max="14316" width="22.88671875" style="64" customWidth="1"/>
    <col min="14317" max="14317" width="25.109375" style="64" customWidth="1"/>
    <col min="14318" max="14565" width="9.88671875" style="64"/>
    <col min="14566" max="14566" width="8.33203125" style="64" customWidth="1"/>
    <col min="14567" max="14567" width="14" style="64" customWidth="1"/>
    <col min="14568" max="14568" width="17.88671875" style="64" customWidth="1"/>
    <col min="14569" max="14569" width="45" style="64" bestFit="1" customWidth="1"/>
    <col min="14570" max="14570" width="61.6640625" style="64" customWidth="1"/>
    <col min="14571" max="14571" width="20.33203125" style="64" customWidth="1"/>
    <col min="14572" max="14572" width="22.88671875" style="64" customWidth="1"/>
    <col min="14573" max="14573" width="25.109375" style="64" customWidth="1"/>
    <col min="14574" max="14821" width="9.88671875" style="64"/>
    <col min="14822" max="14822" width="8.33203125" style="64" customWidth="1"/>
    <col min="14823" max="14823" width="14" style="64" customWidth="1"/>
    <col min="14824" max="14824" width="17.88671875" style="64" customWidth="1"/>
    <col min="14825" max="14825" width="45" style="64" bestFit="1" customWidth="1"/>
    <col min="14826" max="14826" width="61.6640625" style="64" customWidth="1"/>
    <col min="14827" max="14827" width="20.33203125" style="64" customWidth="1"/>
    <col min="14828" max="14828" width="22.88671875" style="64" customWidth="1"/>
    <col min="14829" max="14829" width="25.109375" style="64" customWidth="1"/>
    <col min="14830" max="15077" width="9.88671875" style="64"/>
    <col min="15078" max="15078" width="8.33203125" style="64" customWidth="1"/>
    <col min="15079" max="15079" width="14" style="64" customWidth="1"/>
    <col min="15080" max="15080" width="17.88671875" style="64" customWidth="1"/>
    <col min="15081" max="15081" width="45" style="64" bestFit="1" customWidth="1"/>
    <col min="15082" max="15082" width="61.6640625" style="64" customWidth="1"/>
    <col min="15083" max="15083" width="20.33203125" style="64" customWidth="1"/>
    <col min="15084" max="15084" width="22.88671875" style="64" customWidth="1"/>
    <col min="15085" max="15085" width="25.109375" style="64" customWidth="1"/>
    <col min="15086" max="15333" width="9.88671875" style="64"/>
    <col min="15334" max="15334" width="8.33203125" style="64" customWidth="1"/>
    <col min="15335" max="15335" width="14" style="64" customWidth="1"/>
    <col min="15336" max="15336" width="17.88671875" style="64" customWidth="1"/>
    <col min="15337" max="15337" width="45" style="64" bestFit="1" customWidth="1"/>
    <col min="15338" max="15338" width="61.6640625" style="64" customWidth="1"/>
    <col min="15339" max="15339" width="20.33203125" style="64" customWidth="1"/>
    <col min="15340" max="15340" width="22.88671875" style="64" customWidth="1"/>
    <col min="15341" max="15341" width="25.109375" style="64" customWidth="1"/>
    <col min="15342" max="15589" width="9.88671875" style="64"/>
    <col min="15590" max="15590" width="8.33203125" style="64" customWidth="1"/>
    <col min="15591" max="15591" width="14" style="64" customWidth="1"/>
    <col min="15592" max="15592" width="17.88671875" style="64" customWidth="1"/>
    <col min="15593" max="15593" width="45" style="64" bestFit="1" customWidth="1"/>
    <col min="15594" max="15594" width="61.6640625" style="64" customWidth="1"/>
    <col min="15595" max="15595" width="20.33203125" style="64" customWidth="1"/>
    <col min="15596" max="15596" width="22.88671875" style="64" customWidth="1"/>
    <col min="15597" max="15597" width="25.109375" style="64" customWidth="1"/>
    <col min="15598" max="15845" width="9.88671875" style="64"/>
    <col min="15846" max="15846" width="8.33203125" style="64" customWidth="1"/>
    <col min="15847" max="15847" width="14" style="64" customWidth="1"/>
    <col min="15848" max="15848" width="17.88671875" style="64" customWidth="1"/>
    <col min="15849" max="15849" width="45" style="64" bestFit="1" customWidth="1"/>
    <col min="15850" max="15850" width="61.6640625" style="64" customWidth="1"/>
    <col min="15851" max="15851" width="20.33203125" style="64" customWidth="1"/>
    <col min="15852" max="15852" width="22.88671875" style="64" customWidth="1"/>
    <col min="15853" max="15853" width="25.109375" style="64" customWidth="1"/>
    <col min="15854" max="16101" width="9.88671875" style="64"/>
    <col min="16102" max="16102" width="8.33203125" style="64" customWidth="1"/>
    <col min="16103" max="16103" width="14" style="64" customWidth="1"/>
    <col min="16104" max="16104" width="17.88671875" style="64" customWidth="1"/>
    <col min="16105" max="16105" width="45" style="64" bestFit="1" customWidth="1"/>
    <col min="16106" max="16106" width="61.6640625" style="64" customWidth="1"/>
    <col min="16107" max="16107" width="20.33203125" style="64" customWidth="1"/>
    <col min="16108" max="16108" width="22.88671875" style="64" customWidth="1"/>
    <col min="16109" max="16109" width="25.109375" style="64" customWidth="1"/>
    <col min="16110" max="16384" width="9.88671875" style="64"/>
  </cols>
  <sheetData>
    <row r="1" spans="1:10" s="109" customFormat="1" ht="40.200000000000003" customHeight="1">
      <c r="A1" s="77" t="s">
        <v>193</v>
      </c>
      <c r="B1" s="108"/>
      <c r="C1" s="74"/>
      <c r="D1" s="74"/>
      <c r="E1" s="74"/>
      <c r="F1" s="74"/>
      <c r="G1" s="74"/>
      <c r="H1" s="74"/>
      <c r="I1" s="74"/>
      <c r="J1" s="74"/>
    </row>
    <row r="2" spans="1:10" s="75" customFormat="1" ht="19.95" customHeight="1">
      <c r="A2" s="77"/>
      <c r="B2" s="76"/>
      <c r="C2" s="74"/>
      <c r="D2" s="74"/>
      <c r="E2" s="74"/>
      <c r="F2" s="74"/>
      <c r="G2" s="74"/>
      <c r="H2" s="74"/>
      <c r="I2" s="74"/>
      <c r="J2" s="74"/>
    </row>
    <row r="3" spans="1:10" s="110" customFormat="1" ht="39.6" customHeight="1">
      <c r="A3" s="74"/>
      <c r="B3" s="1008" t="s">
        <v>194</v>
      </c>
      <c r="C3" s="1008"/>
      <c r="D3" s="1008"/>
      <c r="E3" s="1008"/>
      <c r="F3" s="1008"/>
      <c r="G3" s="1008"/>
      <c r="H3" s="1008"/>
      <c r="I3" s="1008"/>
      <c r="J3" s="74"/>
    </row>
    <row r="4" spans="1:10" s="75" customFormat="1" ht="25.2" customHeight="1">
      <c r="A4" s="74"/>
      <c r="B4" s="1005" t="s">
        <v>195</v>
      </c>
      <c r="C4" s="1006"/>
      <c r="D4" s="1006"/>
      <c r="E4" s="1006"/>
      <c r="F4" s="1006"/>
      <c r="G4" s="1006"/>
      <c r="H4" s="1006"/>
      <c r="I4" s="1007"/>
      <c r="J4" s="74"/>
    </row>
    <row r="5" spans="1:10" s="75" customFormat="1" ht="25.2" customHeight="1">
      <c r="A5" s="74"/>
      <c r="B5" s="111" t="s">
        <v>196</v>
      </c>
      <c r="C5" s="1005" t="s">
        <v>197</v>
      </c>
      <c r="D5" s="1006"/>
      <c r="E5" s="1006"/>
      <c r="F5" s="1006"/>
      <c r="G5" s="1006"/>
      <c r="H5" s="1006"/>
      <c r="I5" s="1007"/>
      <c r="J5" s="74"/>
    </row>
    <row r="6" spans="1:10" s="75" customFormat="1" ht="25.2" customHeight="1">
      <c r="A6" s="74"/>
      <c r="B6" s="111" t="s">
        <v>198</v>
      </c>
      <c r="C6" s="1005" t="s">
        <v>199</v>
      </c>
      <c r="D6" s="1006"/>
      <c r="E6" s="1006"/>
      <c r="F6" s="1006"/>
      <c r="G6" s="1006"/>
      <c r="H6" s="1006"/>
      <c r="I6" s="1007"/>
      <c r="J6" s="74"/>
    </row>
    <row r="7" spans="1:10" s="75" customFormat="1" ht="25.2" customHeight="1">
      <c r="A7" s="74"/>
      <c r="B7" s="111" t="s">
        <v>200</v>
      </c>
      <c r="C7" s="1005" t="s">
        <v>201</v>
      </c>
      <c r="D7" s="1006"/>
      <c r="E7" s="1006"/>
      <c r="F7" s="1006"/>
      <c r="G7" s="1006"/>
      <c r="H7" s="1006"/>
      <c r="I7" s="1007"/>
      <c r="J7" s="74"/>
    </row>
    <row r="8" spans="1:10" s="75" customFormat="1" ht="25.2" customHeight="1">
      <c r="A8" s="74"/>
      <c r="B8" s="112"/>
      <c r="C8" s="74"/>
      <c r="D8" s="113"/>
      <c r="E8" s="113"/>
      <c r="F8" s="113"/>
      <c r="G8" s="113"/>
      <c r="H8" s="113"/>
      <c r="I8" s="113"/>
      <c r="J8" s="74"/>
    </row>
    <row r="9" spans="1:10" s="75" customFormat="1" ht="36" customHeight="1">
      <c r="A9" s="74"/>
      <c r="B9" s="1008" t="s">
        <v>202</v>
      </c>
      <c r="C9" s="1008"/>
      <c r="D9" s="1008"/>
      <c r="E9" s="1008"/>
      <c r="F9" s="1008"/>
      <c r="G9" s="1008"/>
      <c r="H9" s="1008"/>
      <c r="I9" s="1008"/>
      <c r="J9" s="74"/>
    </row>
    <row r="10" spans="1:10" s="75" customFormat="1" ht="25.2" customHeight="1">
      <c r="A10" s="74"/>
      <c r="B10" s="1005" t="s">
        <v>203</v>
      </c>
      <c r="C10" s="1006"/>
      <c r="D10" s="1006"/>
      <c r="E10" s="1006"/>
      <c r="F10" s="1006"/>
      <c r="G10" s="1006"/>
      <c r="H10" s="1006"/>
      <c r="I10" s="1007"/>
      <c r="J10" s="74"/>
    </row>
    <row r="11" spans="1:10" s="75" customFormat="1" ht="56.4" customHeight="1">
      <c r="A11" s="74"/>
      <c r="B11" s="1009" t="s">
        <v>204</v>
      </c>
      <c r="C11" s="1002" t="s">
        <v>205</v>
      </c>
      <c r="D11" s="1003"/>
      <c r="E11" s="1003"/>
      <c r="F11" s="1003"/>
      <c r="G11" s="1003"/>
      <c r="H11" s="1003"/>
      <c r="I11" s="1004"/>
      <c r="J11" s="74"/>
    </row>
    <row r="12" spans="1:10" s="75" customFormat="1" ht="54.6" customHeight="1">
      <c r="A12" s="74"/>
      <c r="B12" s="1009"/>
      <c r="C12" s="1010" t="s">
        <v>206</v>
      </c>
      <c r="D12" s="111" t="s">
        <v>207</v>
      </c>
      <c r="E12" s="1002" t="s">
        <v>208</v>
      </c>
      <c r="F12" s="1003"/>
      <c r="G12" s="1003"/>
      <c r="H12" s="1003"/>
      <c r="I12" s="1004"/>
      <c r="J12" s="115"/>
    </row>
    <row r="13" spans="1:10" s="75" customFormat="1" ht="32.4" customHeight="1">
      <c r="A13" s="74"/>
      <c r="B13" s="1009"/>
      <c r="C13" s="1011"/>
      <c r="D13" s="111" t="s">
        <v>209</v>
      </c>
      <c r="E13" s="1002" t="s">
        <v>210</v>
      </c>
      <c r="F13" s="1003"/>
      <c r="G13" s="1003"/>
      <c r="H13" s="1003"/>
      <c r="I13" s="1004"/>
      <c r="J13" s="115"/>
    </row>
    <row r="14" spans="1:10" s="75" customFormat="1" ht="25.2" customHeight="1">
      <c r="A14" s="74"/>
      <c r="B14" s="111" t="s">
        <v>211</v>
      </c>
      <c r="C14" s="1005" t="s">
        <v>212</v>
      </c>
      <c r="D14" s="1006"/>
      <c r="E14" s="1006"/>
      <c r="F14" s="1006"/>
      <c r="G14" s="1006"/>
      <c r="H14" s="1006"/>
      <c r="I14" s="1007"/>
      <c r="J14" s="74"/>
    </row>
    <row r="15" spans="1:10" s="75" customFormat="1" ht="25.2"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200000000000003" customHeight="1">
      <c r="A17" s="60" t="s">
        <v>213</v>
      </c>
      <c r="B17" s="61"/>
      <c r="C17" s="61"/>
      <c r="D17" s="61"/>
      <c r="E17" s="61"/>
      <c r="F17" s="61"/>
      <c r="G17" s="61"/>
      <c r="H17" s="61"/>
      <c r="I17" s="61"/>
      <c r="J17" s="116"/>
    </row>
    <row r="18" spans="1:10" ht="19.95" customHeight="1">
      <c r="A18" s="62"/>
      <c r="B18" s="63"/>
      <c r="C18" s="63"/>
      <c r="D18" s="63"/>
      <c r="E18" s="63"/>
      <c r="F18" s="63"/>
      <c r="G18" s="63"/>
      <c r="H18" s="63"/>
      <c r="I18" s="63"/>
    </row>
    <row r="19" spans="1:10" ht="40.200000000000003" customHeight="1">
      <c r="A19" s="66" t="s">
        <v>214</v>
      </c>
      <c r="B19" s="63"/>
      <c r="C19" s="67"/>
      <c r="D19" s="67"/>
      <c r="E19" s="63"/>
      <c r="F19" s="63"/>
      <c r="G19" s="63"/>
      <c r="H19" s="63"/>
      <c r="I19" s="63"/>
    </row>
    <row r="20" spans="1:10" ht="46.8">
      <c r="A20" s="998" t="s">
        <v>215</v>
      </c>
      <c r="B20" s="999"/>
      <c r="C20" s="68" t="s">
        <v>216</v>
      </c>
      <c r="D20" s="69" t="s">
        <v>217</v>
      </c>
      <c r="E20" s="69" t="s">
        <v>218</v>
      </c>
      <c r="F20" s="69" t="s">
        <v>219</v>
      </c>
      <c r="G20" s="70"/>
      <c r="H20" s="70"/>
      <c r="I20" s="70"/>
    </row>
    <row r="21" spans="1:10" ht="93.6">
      <c r="A21" s="1000" t="s">
        <v>220</v>
      </c>
      <c r="B21" s="999"/>
      <c r="C21" s="71" t="s">
        <v>221</v>
      </c>
      <c r="D21" s="71" t="s">
        <v>222</v>
      </c>
      <c r="E21" s="71" t="s">
        <v>223</v>
      </c>
      <c r="F21" s="71" t="s">
        <v>224</v>
      </c>
      <c r="G21" s="70"/>
      <c r="H21" s="70"/>
      <c r="I21" s="70"/>
    </row>
    <row r="22" spans="1:10" ht="82.2">
      <c r="A22" s="1000" t="s">
        <v>225</v>
      </c>
      <c r="B22" s="999"/>
      <c r="C22" s="71" t="s">
        <v>226</v>
      </c>
      <c r="D22" s="71" t="s">
        <v>227</v>
      </c>
      <c r="E22" s="71" t="s">
        <v>228</v>
      </c>
      <c r="F22" s="72" t="s">
        <v>229</v>
      </c>
      <c r="G22" s="63"/>
      <c r="H22" s="63"/>
      <c r="I22" s="63"/>
    </row>
    <row r="23" spans="1:10" ht="82.2">
      <c r="A23" s="1000" t="s">
        <v>230</v>
      </c>
      <c r="B23" s="999"/>
      <c r="C23" s="71" t="s">
        <v>231</v>
      </c>
      <c r="D23" s="71" t="s">
        <v>232</v>
      </c>
      <c r="E23" s="71" t="s">
        <v>233</v>
      </c>
      <c r="F23" s="72" t="s">
        <v>234</v>
      </c>
      <c r="G23" s="63"/>
      <c r="H23" s="63"/>
      <c r="I23" s="63"/>
    </row>
    <row r="24" spans="1:10">
      <c r="A24" s="63"/>
      <c r="B24" s="63"/>
      <c r="C24" s="63"/>
      <c r="D24" s="63"/>
      <c r="E24" s="63"/>
      <c r="F24" s="63"/>
      <c r="G24" s="63"/>
      <c r="H24" s="63"/>
      <c r="I24" s="63"/>
    </row>
    <row r="25" spans="1:10" ht="23.4">
      <c r="A25" s="1001" t="s">
        <v>235</v>
      </c>
      <c r="B25" s="1001"/>
      <c r="C25" s="1001"/>
      <c r="D25" s="1001"/>
      <c r="E25" s="1001"/>
      <c r="F25" s="1001"/>
      <c r="G25" s="1001"/>
      <c r="H25" s="1001"/>
      <c r="I25" s="1001"/>
    </row>
    <row r="26" spans="1:10" ht="23.4">
      <c r="A26" s="65" t="s">
        <v>236</v>
      </c>
      <c r="B26" s="65"/>
      <c r="C26" s="65"/>
      <c r="D26" s="65"/>
      <c r="E26" s="65"/>
      <c r="F26" s="65"/>
      <c r="G26" s="65"/>
      <c r="H26" s="65"/>
      <c r="I26" s="65"/>
    </row>
    <row r="27" spans="1:10" ht="23.4">
      <c r="A27" s="995" t="s">
        <v>237</v>
      </c>
      <c r="B27" s="996"/>
      <c r="C27" s="996"/>
      <c r="D27" s="996"/>
      <c r="E27" s="996"/>
      <c r="F27" s="996"/>
      <c r="G27" s="996"/>
      <c r="H27" s="996"/>
      <c r="I27" s="997"/>
    </row>
    <row r="28" spans="1:10">
      <c r="A28" s="63"/>
      <c r="B28" s="63"/>
      <c r="C28" s="63"/>
      <c r="D28" s="63"/>
      <c r="E28" s="63"/>
      <c r="F28" s="63"/>
      <c r="G28" s="63"/>
      <c r="H28" s="63"/>
      <c r="I28" s="63"/>
    </row>
    <row r="29" spans="1:10">
      <c r="A29" s="63"/>
      <c r="B29" s="63"/>
      <c r="C29" s="63"/>
      <c r="D29" s="63"/>
      <c r="E29" s="63"/>
      <c r="F29" s="63"/>
      <c r="G29" s="63"/>
      <c r="H29" s="63"/>
      <c r="I29" s="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238</v>
      </c>
      <c r="B1" s="2"/>
      <c r="C1" s="2"/>
      <c r="D1" s="2"/>
      <c r="E1" s="2"/>
      <c r="F1" s="2"/>
      <c r="G1" s="2"/>
      <c r="H1" s="2"/>
      <c r="I1" s="2"/>
      <c r="J1" s="2"/>
      <c r="K1" s="2"/>
      <c r="L1" s="2"/>
      <c r="M1" s="2"/>
      <c r="N1" s="2"/>
      <c r="O1" s="2"/>
      <c r="Q1" s="1" t="s">
        <v>239</v>
      </c>
      <c r="T1" s="2" t="s">
        <v>240</v>
      </c>
      <c r="V1" s="2" t="s">
        <v>241</v>
      </c>
      <c r="Y1" s="415" t="s">
        <v>242</v>
      </c>
      <c r="Z1" s="416"/>
      <c r="AA1" s="416"/>
      <c r="AB1" s="416"/>
      <c r="AC1" s="416"/>
      <c r="AD1" s="416"/>
      <c r="AE1" s="415"/>
      <c r="AF1" s="417"/>
      <c r="AG1" s="417"/>
      <c r="AH1" s="417"/>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3.8" thickBot="1">
      <c r="A2" s="1019" t="s">
        <v>248</v>
      </c>
      <c r="B2" s="1014" t="s">
        <v>249</v>
      </c>
      <c r="C2" s="1017" t="s">
        <v>250</v>
      </c>
      <c r="D2" s="1017"/>
      <c r="E2" s="1017"/>
      <c r="F2" s="1018"/>
      <c r="G2" s="1016" t="s">
        <v>251</v>
      </c>
      <c r="H2" s="1017"/>
      <c r="I2" s="1017"/>
      <c r="J2" s="1017"/>
      <c r="K2" s="1017"/>
      <c r="L2" s="1017"/>
      <c r="M2" s="1018"/>
      <c r="N2" s="1016" t="s">
        <v>192</v>
      </c>
      <c r="O2" s="1022" t="s">
        <v>252</v>
      </c>
      <c r="Q2" s="1024" t="s">
        <v>253</v>
      </c>
      <c r="R2" s="1025"/>
      <c r="T2" s="3" t="s">
        <v>32</v>
      </c>
      <c r="V2" s="3" t="s">
        <v>32</v>
      </c>
      <c r="W2" s="3" t="s">
        <v>254</v>
      </c>
      <c r="Y2" s="418" t="s">
        <v>255</v>
      </c>
      <c r="Z2" s="419" t="s">
        <v>256</v>
      </c>
      <c r="AA2" s="420" t="s">
        <v>32</v>
      </c>
      <c r="AB2" s="421" t="s">
        <v>257</v>
      </c>
      <c r="AC2" s="422" t="s">
        <v>258</v>
      </c>
      <c r="AD2" s="423">
        <v>0.7</v>
      </c>
      <c r="AE2" s="424">
        <v>0.55000000000000004</v>
      </c>
      <c r="AF2" s="425">
        <v>0.45</v>
      </c>
      <c r="AG2" s="418" t="s">
        <v>259</v>
      </c>
      <c r="AH2" s="426" t="s">
        <v>260</v>
      </c>
      <c r="AJ2" s="11" t="s">
        <v>261</v>
      </c>
      <c r="AK2" s="35" t="s">
        <v>262</v>
      </c>
      <c r="AL2" s="1"/>
      <c r="AM2" s="1"/>
      <c r="AN2" s="1"/>
      <c r="AO2" s="284" t="s">
        <v>248</v>
      </c>
      <c r="AP2" s="283" t="s">
        <v>263</v>
      </c>
      <c r="AQ2" s="105"/>
      <c r="AR2" s="1026" t="s">
        <v>248</v>
      </c>
      <c r="AS2" s="1029"/>
      <c r="AT2" s="1032" t="s">
        <v>2350</v>
      </c>
      <c r="AU2" s="495"/>
      <c r="AV2" s="495"/>
      <c r="AX2" s="367" t="s">
        <v>248</v>
      </c>
      <c r="AY2" s="368" t="s">
        <v>264</v>
      </c>
      <c r="AZ2" s="368"/>
      <c r="BA2" s="368"/>
      <c r="BB2" s="501"/>
      <c r="BC2" s="501"/>
      <c r="BD2" s="502"/>
      <c r="BF2" s="266" t="s">
        <v>183</v>
      </c>
      <c r="BH2" s="11" t="s">
        <v>261</v>
      </c>
    </row>
    <row r="3" spans="1:60" ht="66.599999999999994" thickBot="1">
      <c r="A3" s="1020"/>
      <c r="B3" s="1015"/>
      <c r="C3" s="301" t="s">
        <v>177</v>
      </c>
      <c r="D3" s="302" t="s">
        <v>265</v>
      </c>
      <c r="E3" s="302" t="s">
        <v>191</v>
      </c>
      <c r="F3" s="302" t="s">
        <v>266</v>
      </c>
      <c r="G3" s="301" t="s">
        <v>267</v>
      </c>
      <c r="H3" s="301" t="s">
        <v>268</v>
      </c>
      <c r="I3" s="302" t="s">
        <v>269</v>
      </c>
      <c r="J3" s="302" t="s">
        <v>270</v>
      </c>
      <c r="K3" s="302" t="s">
        <v>271</v>
      </c>
      <c r="L3" s="302" t="s">
        <v>272</v>
      </c>
      <c r="M3" s="359" t="s">
        <v>273</v>
      </c>
      <c r="N3" s="1021"/>
      <c r="O3" s="1023"/>
      <c r="P3" s="32"/>
      <c r="Q3" s="357" t="s">
        <v>274</v>
      </c>
      <c r="R3" s="358" t="s">
        <v>275</v>
      </c>
      <c r="S3" s="32"/>
      <c r="T3" s="6" t="s">
        <v>2204</v>
      </c>
      <c r="V3" s="6" t="s">
        <v>2204</v>
      </c>
      <c r="W3" s="6" t="s">
        <v>277</v>
      </c>
      <c r="Y3" s="427" t="s">
        <v>278</v>
      </c>
      <c r="Z3" s="428">
        <v>0.2</v>
      </c>
      <c r="AA3" s="429" t="s">
        <v>36</v>
      </c>
      <c r="AB3" s="430" t="s">
        <v>279</v>
      </c>
      <c r="AC3" s="431" t="str">
        <f>AA3&amp;AB3</f>
        <v>東京都千代田区</v>
      </c>
      <c r="AD3" s="432">
        <v>11.4</v>
      </c>
      <c r="AE3" s="433">
        <v>11.1</v>
      </c>
      <c r="AF3" s="434">
        <v>10.9</v>
      </c>
      <c r="AG3" s="427" t="s">
        <v>35</v>
      </c>
      <c r="AH3" s="428">
        <v>0.7</v>
      </c>
      <c r="AI3" s="32"/>
      <c r="AJ3" s="9" t="s">
        <v>280</v>
      </c>
      <c r="AK3" s="36" t="s">
        <v>280</v>
      </c>
      <c r="AL3" s="1"/>
      <c r="AM3" s="1"/>
      <c r="AN3" s="1"/>
      <c r="AO3" s="270" t="s">
        <v>2267</v>
      </c>
      <c r="AP3" s="271" t="s">
        <v>2338</v>
      </c>
      <c r="AQ3" s="377"/>
      <c r="AR3" s="1027"/>
      <c r="AS3" s="1030"/>
      <c r="AT3" s="1033"/>
      <c r="AU3" s="496"/>
      <c r="AV3" s="497"/>
      <c r="AX3" s="81" t="s">
        <v>2267</v>
      </c>
      <c r="AY3" s="81" t="s">
        <v>2356</v>
      </c>
      <c r="AZ3" s="362" t="s">
        <v>2385</v>
      </c>
      <c r="BA3" s="521" t="s">
        <v>2479</v>
      </c>
      <c r="BB3" s="85" t="s">
        <v>2386</v>
      </c>
      <c r="BC3" s="364"/>
      <c r="BF3" s="267"/>
      <c r="BH3" s="9" t="s">
        <v>280</v>
      </c>
    </row>
    <row r="4" spans="1:60" ht="66.599999999999994" thickBot="1">
      <c r="A4" s="81" t="s">
        <v>2267</v>
      </c>
      <c r="B4" s="281" t="s">
        <v>2268</v>
      </c>
      <c r="C4" s="403">
        <v>0.41700000000000004</v>
      </c>
      <c r="D4" s="403">
        <v>0.40200000000000002</v>
      </c>
      <c r="E4" s="403">
        <v>0.34700000000000003</v>
      </c>
      <c r="F4" s="403">
        <v>0.27300000000000002</v>
      </c>
      <c r="G4" s="403">
        <v>0.44600000000000001</v>
      </c>
      <c r="H4" s="403">
        <v>0.45600000000000002</v>
      </c>
      <c r="I4" s="403">
        <v>0.43099999999999999</v>
      </c>
      <c r="J4" s="403">
        <v>0.441</v>
      </c>
      <c r="K4" s="403">
        <v>0.376</v>
      </c>
      <c r="L4" s="403">
        <v>0.30199999999999999</v>
      </c>
      <c r="M4" s="411"/>
      <c r="N4" s="360" t="s">
        <v>274</v>
      </c>
      <c r="O4" s="91" t="s">
        <v>281</v>
      </c>
      <c r="P4" s="34"/>
      <c r="Q4" s="355" t="s">
        <v>267</v>
      </c>
      <c r="R4" s="350" t="s">
        <v>192</v>
      </c>
      <c r="S4" s="34"/>
      <c r="T4" s="4" t="s">
        <v>282</v>
      </c>
      <c r="V4" s="6" t="s">
        <v>2204</v>
      </c>
      <c r="W4" s="4" t="s">
        <v>283</v>
      </c>
      <c r="Y4" s="435" t="s">
        <v>278</v>
      </c>
      <c r="Z4" s="436">
        <v>0.2</v>
      </c>
      <c r="AA4" s="437" t="s">
        <v>36</v>
      </c>
      <c r="AB4" s="438" t="s">
        <v>284</v>
      </c>
      <c r="AC4" s="439" t="str">
        <f t="shared" ref="AC4:AC67" si="0">AA4&amp;AB4</f>
        <v>東京都中央区</v>
      </c>
      <c r="AD4" s="440">
        <v>11.4</v>
      </c>
      <c r="AE4" s="441">
        <v>11.1</v>
      </c>
      <c r="AF4" s="442">
        <v>10.9</v>
      </c>
      <c r="AG4" s="435" t="s">
        <v>285</v>
      </c>
      <c r="AH4" s="436">
        <v>0.7</v>
      </c>
      <c r="AI4" s="34"/>
      <c r="AJ4" s="8"/>
      <c r="AK4" s="37" t="s">
        <v>262</v>
      </c>
      <c r="AL4" s="1"/>
      <c r="AM4" s="1"/>
      <c r="AN4" s="1"/>
      <c r="AO4" s="275" t="s">
        <v>2269</v>
      </c>
      <c r="AP4" s="276" t="s">
        <v>2338</v>
      </c>
      <c r="AQ4" s="377"/>
      <c r="AR4" s="1028"/>
      <c r="AS4" s="1031"/>
      <c r="AT4" s="1034"/>
      <c r="AU4" s="496"/>
      <c r="AV4" s="497"/>
      <c r="AX4" s="10" t="s">
        <v>2269</v>
      </c>
      <c r="AY4" s="10" t="s">
        <v>2357</v>
      </c>
      <c r="AZ4" s="362" t="s">
        <v>2387</v>
      </c>
      <c r="BA4" s="521" t="s">
        <v>2479</v>
      </c>
      <c r="BB4" s="85" t="s">
        <v>2386</v>
      </c>
      <c r="BC4" s="363"/>
      <c r="BF4" s="2"/>
      <c r="BH4" s="380" t="s">
        <v>262</v>
      </c>
    </row>
    <row r="5" spans="1:60" ht="66.599999999999994" thickBot="1">
      <c r="A5" s="10" t="s">
        <v>2269</v>
      </c>
      <c r="B5" s="282" t="s">
        <v>2270</v>
      </c>
      <c r="C5" s="403">
        <v>0.34300000000000003</v>
      </c>
      <c r="D5" s="403">
        <v>0.32800000000000001</v>
      </c>
      <c r="E5" s="403">
        <v>0.27300000000000002</v>
      </c>
      <c r="F5" s="403">
        <v>0.219</v>
      </c>
      <c r="G5" s="403">
        <v>0.372</v>
      </c>
      <c r="H5" s="403">
        <v>0.38200000000000001</v>
      </c>
      <c r="I5" s="403">
        <v>0.35699999999999998</v>
      </c>
      <c r="J5" s="403">
        <v>0.36699999999999999</v>
      </c>
      <c r="K5" s="403">
        <v>0.30199999999999999</v>
      </c>
      <c r="L5" s="403">
        <v>0.248</v>
      </c>
      <c r="M5" s="412"/>
      <c r="N5" s="320" t="s">
        <v>274</v>
      </c>
      <c r="O5" s="89" t="s">
        <v>281</v>
      </c>
      <c r="P5" s="34"/>
      <c r="Q5" s="4" t="s">
        <v>268</v>
      </c>
      <c r="R5" s="351"/>
      <c r="S5" s="34"/>
      <c r="T5" s="4" t="s">
        <v>286</v>
      </c>
      <c r="V5" s="6" t="s">
        <v>2204</v>
      </c>
      <c r="W5" s="4" t="s">
        <v>287</v>
      </c>
      <c r="Y5" s="435" t="s">
        <v>278</v>
      </c>
      <c r="Z5" s="436">
        <v>0.2</v>
      </c>
      <c r="AA5" s="437" t="s">
        <v>36</v>
      </c>
      <c r="AB5" s="438" t="s">
        <v>288</v>
      </c>
      <c r="AC5" s="439" t="str">
        <f t="shared" si="0"/>
        <v>東京都港区</v>
      </c>
      <c r="AD5" s="440">
        <v>11.4</v>
      </c>
      <c r="AE5" s="441">
        <v>11.1</v>
      </c>
      <c r="AF5" s="442">
        <v>10.9</v>
      </c>
      <c r="AG5" s="443" t="s">
        <v>289</v>
      </c>
      <c r="AH5" s="436">
        <v>0.7</v>
      </c>
      <c r="AI5" s="34"/>
      <c r="AJ5" s="1"/>
      <c r="AK5" s="8"/>
      <c r="AL5" s="1"/>
      <c r="AM5" s="1"/>
      <c r="AN5" s="1"/>
      <c r="AO5" s="275" t="s">
        <v>2271</v>
      </c>
      <c r="AP5" s="276" t="s">
        <v>2338</v>
      </c>
      <c r="AQ5" s="377"/>
      <c r="AR5" s="268" t="s">
        <v>2267</v>
      </c>
      <c r="AS5" s="268" t="s">
        <v>2425</v>
      </c>
      <c r="AT5" s="269" t="s">
        <v>2351</v>
      </c>
      <c r="AU5" s="496"/>
      <c r="AV5" s="497"/>
      <c r="AX5" s="10" t="s">
        <v>2271</v>
      </c>
      <c r="AY5" s="10" t="s">
        <v>2358</v>
      </c>
      <c r="AZ5" s="362" t="s">
        <v>2388</v>
      </c>
      <c r="BA5" s="521" t="s">
        <v>2479</v>
      </c>
      <c r="BB5" s="85" t="s">
        <v>2386</v>
      </c>
      <c r="BC5" s="363"/>
      <c r="BF5" s="266" t="s">
        <v>183</v>
      </c>
      <c r="BH5" s="8"/>
    </row>
    <row r="6" spans="1:60" ht="66.599999999999994" thickBot="1">
      <c r="A6" s="10" t="s">
        <v>2271</v>
      </c>
      <c r="B6" s="282" t="s">
        <v>2272</v>
      </c>
      <c r="C6" s="403">
        <v>0.41700000000000004</v>
      </c>
      <c r="D6" s="403">
        <v>0.40200000000000002</v>
      </c>
      <c r="E6" s="403">
        <v>0.34700000000000003</v>
      </c>
      <c r="F6" s="403">
        <v>0.27300000000000002</v>
      </c>
      <c r="G6" s="403">
        <v>0.44600000000000001</v>
      </c>
      <c r="H6" s="403">
        <v>0.45600000000000002</v>
      </c>
      <c r="I6" s="403">
        <v>0.43099999999999999</v>
      </c>
      <c r="J6" s="403">
        <v>0.441</v>
      </c>
      <c r="K6" s="403">
        <v>0.376</v>
      </c>
      <c r="L6" s="403">
        <v>0.30199999999999999</v>
      </c>
      <c r="M6" s="412"/>
      <c r="N6" s="320" t="s">
        <v>274</v>
      </c>
      <c r="O6" s="89" t="s">
        <v>281</v>
      </c>
      <c r="P6" s="32"/>
      <c r="Q6" s="356" t="s">
        <v>269</v>
      </c>
      <c r="R6" s="352"/>
      <c r="S6" s="32"/>
      <c r="T6" s="4" t="s">
        <v>290</v>
      </c>
      <c r="V6" s="6" t="s">
        <v>2204</v>
      </c>
      <c r="W6" s="4" t="s">
        <v>291</v>
      </c>
      <c r="Y6" s="435" t="s">
        <v>278</v>
      </c>
      <c r="Z6" s="436">
        <v>0.2</v>
      </c>
      <c r="AA6" s="437" t="s">
        <v>36</v>
      </c>
      <c r="AB6" s="438" t="s">
        <v>292</v>
      </c>
      <c r="AC6" s="439" t="str">
        <f t="shared" si="0"/>
        <v>東京都新宿区</v>
      </c>
      <c r="AD6" s="440">
        <v>11.4</v>
      </c>
      <c r="AE6" s="441">
        <v>11.1</v>
      </c>
      <c r="AF6" s="442">
        <v>10.9</v>
      </c>
      <c r="AG6" s="435" t="s">
        <v>293</v>
      </c>
      <c r="AH6" s="436">
        <v>0.7</v>
      </c>
      <c r="AI6" s="32"/>
      <c r="AJ6" s="33"/>
      <c r="AK6" s="1"/>
      <c r="AL6" s="1"/>
      <c r="AM6" s="1"/>
      <c r="AN6" s="1"/>
      <c r="AO6" s="275" t="s">
        <v>2273</v>
      </c>
      <c r="AP6" s="276" t="s">
        <v>2338</v>
      </c>
      <c r="AQ6" s="377"/>
      <c r="AR6" s="272" t="s">
        <v>2269</v>
      </c>
      <c r="AS6" s="272" t="s">
        <v>2426</v>
      </c>
      <c r="AT6" s="273" t="s">
        <v>2352</v>
      </c>
      <c r="AU6" s="496"/>
      <c r="AV6" s="497"/>
      <c r="AX6" s="10" t="s">
        <v>2273</v>
      </c>
      <c r="AY6" s="10" t="s">
        <v>2359</v>
      </c>
      <c r="AZ6" s="362" t="s">
        <v>2389</v>
      </c>
      <c r="BA6" s="521" t="s">
        <v>2479</v>
      </c>
      <c r="BB6" s="85" t="s">
        <v>2386</v>
      </c>
      <c r="BC6" s="363"/>
      <c r="BF6" s="274" t="s">
        <v>184</v>
      </c>
    </row>
    <row r="7" spans="1:60" ht="66.599999999999994" thickBot="1">
      <c r="A7" s="10" t="s">
        <v>2273</v>
      </c>
      <c r="B7" s="282" t="s">
        <v>2274</v>
      </c>
      <c r="C7" s="403">
        <v>0.38200000000000001</v>
      </c>
      <c r="D7" s="403">
        <v>0.36699999999999999</v>
      </c>
      <c r="E7" s="403">
        <v>0.312</v>
      </c>
      <c r="F7" s="403">
        <v>0.24799999999999997</v>
      </c>
      <c r="G7" s="403">
        <v>0.441</v>
      </c>
      <c r="H7" s="403">
        <v>0.42099999999999999</v>
      </c>
      <c r="I7" s="403">
        <v>0.39600000000000002</v>
      </c>
      <c r="J7" s="403">
        <v>0.40600000000000003</v>
      </c>
      <c r="K7" s="403">
        <v>0.34100000000000003</v>
      </c>
      <c r="L7" s="403">
        <v>0.27700000000000002</v>
      </c>
      <c r="M7" s="412"/>
      <c r="N7" s="320" t="s">
        <v>274</v>
      </c>
      <c r="O7" s="89" t="s">
        <v>281</v>
      </c>
      <c r="P7" s="34"/>
      <c r="Q7" s="4" t="s">
        <v>270</v>
      </c>
      <c r="R7" s="351"/>
      <c r="S7" s="34"/>
      <c r="T7" s="4" t="s">
        <v>294</v>
      </c>
      <c r="V7" s="6" t="s">
        <v>2204</v>
      </c>
      <c r="W7" s="4" t="s">
        <v>295</v>
      </c>
      <c r="Y7" s="435" t="s">
        <v>278</v>
      </c>
      <c r="Z7" s="436">
        <v>0.2</v>
      </c>
      <c r="AA7" s="437" t="s">
        <v>36</v>
      </c>
      <c r="AB7" s="438" t="s">
        <v>296</v>
      </c>
      <c r="AC7" s="439" t="str">
        <f t="shared" si="0"/>
        <v>東京都文京区</v>
      </c>
      <c r="AD7" s="440">
        <v>11.4</v>
      </c>
      <c r="AE7" s="441">
        <v>11.1</v>
      </c>
      <c r="AF7" s="442">
        <v>10.9</v>
      </c>
      <c r="AG7" s="435" t="s">
        <v>297</v>
      </c>
      <c r="AH7" s="436">
        <v>0.7</v>
      </c>
      <c r="AI7" s="34"/>
      <c r="AJ7" s="1"/>
      <c r="AK7" s="1"/>
      <c r="AL7" s="1"/>
      <c r="AM7" s="1"/>
      <c r="AN7" s="1"/>
      <c r="AO7" s="275" t="s">
        <v>2275</v>
      </c>
      <c r="AP7" s="276" t="s">
        <v>2338</v>
      </c>
      <c r="AQ7" s="377"/>
      <c r="AR7" s="272" t="s">
        <v>2271</v>
      </c>
      <c r="AS7" s="272" t="s">
        <v>2427</v>
      </c>
      <c r="AT7" s="273" t="s">
        <v>2351</v>
      </c>
      <c r="AU7" s="496"/>
      <c r="AV7" s="497"/>
      <c r="AX7" s="10" t="s">
        <v>2275</v>
      </c>
      <c r="AY7" s="10" t="s">
        <v>2360</v>
      </c>
      <c r="AZ7" s="362" t="s">
        <v>2390</v>
      </c>
      <c r="BA7" s="521" t="s">
        <v>2479</v>
      </c>
      <c r="BB7" s="85" t="s">
        <v>2386</v>
      </c>
      <c r="BC7" s="363"/>
      <c r="BF7" s="274" t="s">
        <v>2184</v>
      </c>
    </row>
    <row r="8" spans="1:60" ht="66.599999999999994" thickBot="1">
      <c r="A8" s="10" t="s">
        <v>2275</v>
      </c>
      <c r="B8" s="282" t="s">
        <v>2276</v>
      </c>
      <c r="C8" s="403">
        <v>0.223</v>
      </c>
      <c r="D8" s="404"/>
      <c r="E8" s="403">
        <v>0.16200000000000001</v>
      </c>
      <c r="F8" s="403">
        <v>0.13800000000000001</v>
      </c>
      <c r="G8" s="403">
        <v>0.252</v>
      </c>
      <c r="H8" s="403">
        <v>0.26200000000000001</v>
      </c>
      <c r="I8" s="404"/>
      <c r="J8" s="404"/>
      <c r="K8" s="403">
        <v>0.191</v>
      </c>
      <c r="L8" s="403">
        <v>0.16700000000000001</v>
      </c>
      <c r="M8" s="412"/>
      <c r="N8" s="320" t="s">
        <v>274</v>
      </c>
      <c r="O8" s="89" t="s">
        <v>298</v>
      </c>
      <c r="P8" s="34"/>
      <c r="Q8" s="4" t="s">
        <v>271</v>
      </c>
      <c r="R8" s="351"/>
      <c r="S8" s="34"/>
      <c r="T8" s="4" t="s">
        <v>299</v>
      </c>
      <c r="V8" s="6" t="s">
        <v>2204</v>
      </c>
      <c r="W8" s="4" t="s">
        <v>300</v>
      </c>
      <c r="Y8" s="435" t="s">
        <v>278</v>
      </c>
      <c r="Z8" s="436">
        <v>0.2</v>
      </c>
      <c r="AA8" s="437" t="s">
        <v>36</v>
      </c>
      <c r="AB8" s="438" t="s">
        <v>301</v>
      </c>
      <c r="AC8" s="439" t="str">
        <f t="shared" si="0"/>
        <v>東京都台東区</v>
      </c>
      <c r="AD8" s="440">
        <v>11.4</v>
      </c>
      <c r="AE8" s="441">
        <v>11.1</v>
      </c>
      <c r="AF8" s="442">
        <v>10.9</v>
      </c>
      <c r="AG8" s="435" t="s">
        <v>302</v>
      </c>
      <c r="AH8" s="436">
        <v>0.45</v>
      </c>
      <c r="AI8" s="34"/>
      <c r="AJ8" s="1"/>
      <c r="AK8" s="1"/>
      <c r="AL8" s="1"/>
      <c r="AM8" s="1"/>
      <c r="AN8" s="1"/>
      <c r="AO8" s="275" t="s">
        <v>2277</v>
      </c>
      <c r="AP8" s="276" t="s">
        <v>2338</v>
      </c>
      <c r="AQ8" s="377"/>
      <c r="AR8" s="272" t="s">
        <v>2273</v>
      </c>
      <c r="AS8" s="272" t="s">
        <v>2428</v>
      </c>
      <c r="AT8" s="273" t="s">
        <v>2352</v>
      </c>
      <c r="AU8" s="496"/>
      <c r="AV8" s="497"/>
      <c r="AX8" s="10" t="s">
        <v>2277</v>
      </c>
      <c r="AY8" s="10" t="s">
        <v>2361</v>
      </c>
      <c r="AZ8" s="362" t="s">
        <v>2391</v>
      </c>
      <c r="BA8" s="521" t="s">
        <v>2479</v>
      </c>
      <c r="BB8" s="85" t="s">
        <v>2386</v>
      </c>
      <c r="BC8" s="363"/>
      <c r="BF8" s="267"/>
    </row>
    <row r="9" spans="1:60" ht="66.599999999999994" thickBot="1">
      <c r="A9" s="10" t="s">
        <v>2277</v>
      </c>
      <c r="B9" s="282" t="s">
        <v>2278</v>
      </c>
      <c r="C9" s="403">
        <v>8.0999999999999989E-2</v>
      </c>
      <c r="D9" s="403">
        <v>7.9999999999999988E-2</v>
      </c>
      <c r="E9" s="403">
        <v>6.699999999999999E-2</v>
      </c>
      <c r="F9" s="403">
        <v>5.4999999999999993E-2</v>
      </c>
      <c r="G9" s="403">
        <v>9.2999999999999999E-2</v>
      </c>
      <c r="H9" s="403">
        <v>9.7000000000000003E-2</v>
      </c>
      <c r="I9" s="403">
        <v>9.1999999999999998E-2</v>
      </c>
      <c r="J9" s="403">
        <v>9.6000000000000002E-2</v>
      </c>
      <c r="K9" s="403">
        <v>7.9000000000000001E-2</v>
      </c>
      <c r="L9" s="403">
        <v>6.7000000000000004E-2</v>
      </c>
      <c r="M9" s="412"/>
      <c r="N9" s="320" t="s">
        <v>274</v>
      </c>
      <c r="O9" s="89" t="s">
        <v>281</v>
      </c>
      <c r="P9" s="34"/>
      <c r="Q9" s="5" t="s">
        <v>272</v>
      </c>
      <c r="R9" s="353"/>
      <c r="S9" s="34"/>
      <c r="T9" s="4" t="s">
        <v>303</v>
      </c>
      <c r="V9" s="6" t="s">
        <v>2204</v>
      </c>
      <c r="W9" s="4" t="s">
        <v>304</v>
      </c>
      <c r="Y9" s="435" t="s">
        <v>278</v>
      </c>
      <c r="Z9" s="436">
        <v>0.2</v>
      </c>
      <c r="AA9" s="437" t="s">
        <v>36</v>
      </c>
      <c r="AB9" s="438" t="s">
        <v>305</v>
      </c>
      <c r="AC9" s="439" t="str">
        <f t="shared" si="0"/>
        <v>東京都墨田区</v>
      </c>
      <c r="AD9" s="440">
        <v>11.4</v>
      </c>
      <c r="AE9" s="441">
        <v>11.1</v>
      </c>
      <c r="AF9" s="442">
        <v>10.9</v>
      </c>
      <c r="AG9" s="435" t="s">
        <v>306</v>
      </c>
      <c r="AH9" s="436">
        <v>0.45</v>
      </c>
      <c r="AI9" s="34"/>
      <c r="AJ9" s="1"/>
      <c r="AK9" s="1"/>
      <c r="AL9" s="1"/>
      <c r="AM9" s="1"/>
      <c r="AN9" s="1"/>
      <c r="AO9" s="275" t="s">
        <v>2279</v>
      </c>
      <c r="AP9" s="276" t="s">
        <v>2338</v>
      </c>
      <c r="AQ9" s="377"/>
      <c r="AR9" s="272" t="s">
        <v>2275</v>
      </c>
      <c r="AS9" s="272" t="s">
        <v>2429</v>
      </c>
      <c r="AT9" s="273" t="s">
        <v>2353</v>
      </c>
      <c r="AU9" s="496"/>
      <c r="AV9" s="496"/>
      <c r="AX9" s="10" t="s">
        <v>2279</v>
      </c>
      <c r="AY9" s="10" t="s">
        <v>2362</v>
      </c>
      <c r="AZ9" s="362" t="s">
        <v>2392</v>
      </c>
      <c r="BA9" s="521" t="s">
        <v>2479</v>
      </c>
      <c r="BB9" s="85" t="s">
        <v>2386</v>
      </c>
      <c r="BC9" s="363"/>
      <c r="BF9" s="2"/>
    </row>
    <row r="10" spans="1:60" ht="66.599999999999994" thickBot="1">
      <c r="A10" s="10" t="s">
        <v>2279</v>
      </c>
      <c r="B10" s="282" t="s">
        <v>2280</v>
      </c>
      <c r="C10" s="403">
        <v>0.159</v>
      </c>
      <c r="D10" s="404"/>
      <c r="E10" s="403">
        <v>0.13799999999999998</v>
      </c>
      <c r="F10" s="403">
        <v>0.11499999999999999</v>
      </c>
      <c r="G10" s="403">
        <v>0.186</v>
      </c>
      <c r="H10" s="403">
        <v>0.193</v>
      </c>
      <c r="I10" s="404"/>
      <c r="J10" s="404"/>
      <c r="K10" s="403">
        <v>0.16500000000000001</v>
      </c>
      <c r="L10" s="403">
        <v>0.14199999999999999</v>
      </c>
      <c r="M10" s="412"/>
      <c r="N10" s="320" t="s">
        <v>274</v>
      </c>
      <c r="O10" s="89" t="s">
        <v>281</v>
      </c>
      <c r="P10" s="34"/>
      <c r="Q10" s="2"/>
      <c r="R10" s="2"/>
      <c r="S10" s="34"/>
      <c r="T10" s="4" t="s">
        <v>308</v>
      </c>
      <c r="V10" s="6" t="s">
        <v>2204</v>
      </c>
      <c r="W10" s="4" t="s">
        <v>309</v>
      </c>
      <c r="Y10" s="435" t="s">
        <v>278</v>
      </c>
      <c r="Z10" s="436">
        <v>0.2</v>
      </c>
      <c r="AA10" s="437" t="s">
        <v>36</v>
      </c>
      <c r="AB10" s="438" t="s">
        <v>310</v>
      </c>
      <c r="AC10" s="439" t="str">
        <f t="shared" si="0"/>
        <v>東京都江東区</v>
      </c>
      <c r="AD10" s="440">
        <v>11.4</v>
      </c>
      <c r="AE10" s="441">
        <v>11.1</v>
      </c>
      <c r="AF10" s="442">
        <v>10.9</v>
      </c>
      <c r="AG10" s="435" t="s">
        <v>311</v>
      </c>
      <c r="AH10" s="436">
        <v>0.55000000000000004</v>
      </c>
      <c r="AI10" s="34"/>
      <c r="AJ10" s="1"/>
      <c r="AK10" s="1"/>
      <c r="AL10" s="1"/>
      <c r="AM10" s="1"/>
      <c r="AN10" s="1"/>
      <c r="AO10" s="275" t="s">
        <v>2339</v>
      </c>
      <c r="AP10" s="276" t="s">
        <v>2338</v>
      </c>
      <c r="AQ10" s="377"/>
      <c r="AR10" s="272" t="s">
        <v>2277</v>
      </c>
      <c r="AS10" s="272" t="s">
        <v>2430</v>
      </c>
      <c r="AT10" s="273" t="s">
        <v>2354</v>
      </c>
      <c r="AU10" s="496"/>
      <c r="AV10" s="497"/>
      <c r="AX10" s="10" t="s">
        <v>2281</v>
      </c>
      <c r="AY10" s="10" t="s">
        <v>2363</v>
      </c>
      <c r="AZ10" s="362" t="s">
        <v>2393</v>
      </c>
      <c r="BA10" s="521" t="s">
        <v>2479</v>
      </c>
      <c r="BB10" s="85" t="s">
        <v>2386</v>
      </c>
      <c r="BC10" s="363"/>
      <c r="BF10" s="354" t="s">
        <v>307</v>
      </c>
    </row>
    <row r="11" spans="1:60" ht="66.599999999999994" thickBot="1">
      <c r="A11" s="10" t="s">
        <v>2281</v>
      </c>
      <c r="B11" s="282" t="s">
        <v>2282</v>
      </c>
      <c r="C11" s="403">
        <v>0.159</v>
      </c>
      <c r="D11" s="404"/>
      <c r="E11" s="403">
        <v>0.13799999999999998</v>
      </c>
      <c r="F11" s="403">
        <v>0.11499999999999999</v>
      </c>
      <c r="G11" s="403">
        <v>0.186</v>
      </c>
      <c r="H11" s="403">
        <v>0.193</v>
      </c>
      <c r="I11" s="404"/>
      <c r="J11" s="404"/>
      <c r="K11" s="403">
        <v>0.16500000000000001</v>
      </c>
      <c r="L11" s="403">
        <v>0.14199999999999999</v>
      </c>
      <c r="M11" s="412"/>
      <c r="N11" s="320" t="s">
        <v>274</v>
      </c>
      <c r="O11" s="89" t="s">
        <v>281</v>
      </c>
      <c r="P11" s="34"/>
      <c r="Q11" s="2"/>
      <c r="R11" s="2"/>
      <c r="S11" s="34"/>
      <c r="T11" s="4" t="s">
        <v>312</v>
      </c>
      <c r="V11" s="6" t="s">
        <v>2204</v>
      </c>
      <c r="W11" s="4" t="s">
        <v>313</v>
      </c>
      <c r="Y11" s="435" t="s">
        <v>278</v>
      </c>
      <c r="Z11" s="436">
        <v>0.2</v>
      </c>
      <c r="AA11" s="437" t="s">
        <v>36</v>
      </c>
      <c r="AB11" s="438" t="s">
        <v>314</v>
      </c>
      <c r="AC11" s="439" t="str">
        <f t="shared" si="0"/>
        <v>東京都品川区</v>
      </c>
      <c r="AD11" s="440">
        <v>11.4</v>
      </c>
      <c r="AE11" s="441">
        <v>11.1</v>
      </c>
      <c r="AF11" s="442">
        <v>10.9</v>
      </c>
      <c r="AG11" s="435" t="s">
        <v>315</v>
      </c>
      <c r="AH11" s="436">
        <v>0.55000000000000004</v>
      </c>
      <c r="AI11" s="34"/>
      <c r="AJ11" s="1"/>
      <c r="AK11" s="1"/>
      <c r="AL11" s="1"/>
      <c r="AM11" s="1"/>
      <c r="AN11" s="1"/>
      <c r="AO11" s="275" t="s">
        <v>2283</v>
      </c>
      <c r="AP11" s="276" t="s">
        <v>2338</v>
      </c>
      <c r="AQ11" s="377"/>
      <c r="AR11" s="272" t="s">
        <v>2279</v>
      </c>
      <c r="AS11" s="272" t="s">
        <v>2431</v>
      </c>
      <c r="AT11" s="273" t="s">
        <v>2353</v>
      </c>
      <c r="AU11" s="496"/>
      <c r="AV11" s="497"/>
      <c r="AX11" s="10" t="s">
        <v>2283</v>
      </c>
      <c r="AY11" s="10" t="s">
        <v>2364</v>
      </c>
      <c r="AZ11" s="362" t="s">
        <v>2394</v>
      </c>
      <c r="BA11" s="521" t="s">
        <v>2479</v>
      </c>
      <c r="BB11" s="85" t="s">
        <v>2386</v>
      </c>
      <c r="BC11" s="363"/>
      <c r="BF11" s="266" t="s">
        <v>183</v>
      </c>
    </row>
    <row r="12" spans="1:60" ht="66.599999999999994" thickBot="1">
      <c r="A12" s="10" t="s">
        <v>2283</v>
      </c>
      <c r="B12" s="282" t="s">
        <v>2284</v>
      </c>
      <c r="C12" s="403">
        <v>0.13700000000000001</v>
      </c>
      <c r="D12" s="403">
        <v>0.13500000000000001</v>
      </c>
      <c r="E12" s="403">
        <v>0.11599999999999999</v>
      </c>
      <c r="F12" s="403">
        <v>9.9000000000000005E-2</v>
      </c>
      <c r="G12" s="403">
        <v>0.16400000000000001</v>
      </c>
      <c r="H12" s="403">
        <v>0.17100000000000001</v>
      </c>
      <c r="I12" s="403">
        <v>0.16200000000000001</v>
      </c>
      <c r="J12" s="403">
        <v>0.16900000000000001</v>
      </c>
      <c r="K12" s="403">
        <v>0.14299999999999999</v>
      </c>
      <c r="L12" s="403">
        <v>0.126</v>
      </c>
      <c r="M12" s="412"/>
      <c r="N12" s="320" t="s">
        <v>274</v>
      </c>
      <c r="O12" s="89" t="s">
        <v>298</v>
      </c>
      <c r="P12" s="34"/>
      <c r="Q12" s="34"/>
      <c r="R12" s="34"/>
      <c r="S12" s="34"/>
      <c r="T12" s="4" t="s">
        <v>316</v>
      </c>
      <c r="V12" s="6" t="s">
        <v>2204</v>
      </c>
      <c r="W12" s="4" t="s">
        <v>317</v>
      </c>
      <c r="Y12" s="435" t="s">
        <v>278</v>
      </c>
      <c r="Z12" s="436">
        <v>0.2</v>
      </c>
      <c r="AA12" s="437" t="s">
        <v>36</v>
      </c>
      <c r="AB12" s="438" t="s">
        <v>318</v>
      </c>
      <c r="AC12" s="439" t="str">
        <f t="shared" si="0"/>
        <v>東京都目黒区</v>
      </c>
      <c r="AD12" s="440">
        <v>11.4</v>
      </c>
      <c r="AE12" s="441">
        <v>11.1</v>
      </c>
      <c r="AF12" s="442">
        <v>10.9</v>
      </c>
      <c r="AG12" s="435" t="s">
        <v>319</v>
      </c>
      <c r="AH12" s="436">
        <v>0.45</v>
      </c>
      <c r="AI12" s="34"/>
      <c r="AJ12" s="1"/>
      <c r="AK12" s="1"/>
      <c r="AL12" s="1"/>
      <c r="AM12" s="1"/>
      <c r="AN12" s="1"/>
      <c r="AO12" s="275" t="s">
        <v>2285</v>
      </c>
      <c r="AP12" s="276" t="s">
        <v>2338</v>
      </c>
      <c r="AQ12" s="377"/>
      <c r="AR12" s="272" t="s">
        <v>2339</v>
      </c>
      <c r="AS12" s="272" t="s">
        <v>2432</v>
      </c>
      <c r="AT12" s="273" t="s">
        <v>2353</v>
      </c>
      <c r="AU12" s="496"/>
      <c r="AV12" s="496"/>
      <c r="AX12" s="10" t="s">
        <v>2285</v>
      </c>
      <c r="AY12" s="10" t="s">
        <v>2469</v>
      </c>
      <c r="AZ12" s="362" t="s">
        <v>2395</v>
      </c>
      <c r="BA12" s="521" t="s">
        <v>2479</v>
      </c>
      <c r="BB12" s="85" t="s">
        <v>2386</v>
      </c>
      <c r="BC12" s="363"/>
      <c r="BF12" s="274" t="s">
        <v>184</v>
      </c>
    </row>
    <row r="13" spans="1:60" ht="66.599999999999994" thickBot="1">
      <c r="A13" s="10" t="s">
        <v>2285</v>
      </c>
      <c r="B13" s="282" t="s">
        <v>2286</v>
      </c>
      <c r="C13" s="403">
        <v>0.13800000000000001</v>
      </c>
      <c r="D13" s="403">
        <v>0.13400000000000001</v>
      </c>
      <c r="E13" s="403">
        <v>9.8000000000000004E-2</v>
      </c>
      <c r="F13" s="403">
        <v>0.08</v>
      </c>
      <c r="G13" s="403">
        <v>0.16400000000000001</v>
      </c>
      <c r="H13" s="403">
        <v>0.17100000000000001</v>
      </c>
      <c r="I13" s="403">
        <v>0.16</v>
      </c>
      <c r="J13" s="403">
        <v>0.16700000000000001</v>
      </c>
      <c r="K13" s="403">
        <v>0.124</v>
      </c>
      <c r="L13" s="403">
        <v>0.106</v>
      </c>
      <c r="M13" s="413"/>
      <c r="N13" s="320" t="s">
        <v>274</v>
      </c>
      <c r="O13" s="89" t="s">
        <v>281</v>
      </c>
      <c r="P13" s="34"/>
      <c r="Q13" s="34"/>
      <c r="R13" s="34"/>
      <c r="S13" s="34"/>
      <c r="T13" s="4" t="s">
        <v>321</v>
      </c>
      <c r="V13" s="6" t="s">
        <v>2204</v>
      </c>
      <c r="W13" s="4" t="s">
        <v>322</v>
      </c>
      <c r="Y13" s="435" t="s">
        <v>278</v>
      </c>
      <c r="Z13" s="436">
        <v>0.2</v>
      </c>
      <c r="AA13" s="437" t="s">
        <v>36</v>
      </c>
      <c r="AB13" s="438" t="s">
        <v>323</v>
      </c>
      <c r="AC13" s="439" t="str">
        <f t="shared" si="0"/>
        <v>東京都大田区</v>
      </c>
      <c r="AD13" s="440">
        <v>11.4</v>
      </c>
      <c r="AE13" s="441">
        <v>11.1</v>
      </c>
      <c r="AF13" s="442">
        <v>10.9</v>
      </c>
      <c r="AG13" s="435" t="s">
        <v>320</v>
      </c>
      <c r="AH13" s="436">
        <v>0.45</v>
      </c>
      <c r="AI13" s="34"/>
      <c r="AJ13" s="1"/>
      <c r="AK13" s="1"/>
      <c r="AL13" s="1"/>
      <c r="AM13" s="1"/>
      <c r="AN13" s="1"/>
      <c r="AO13" s="275" t="s">
        <v>2287</v>
      </c>
      <c r="AP13" s="276" t="s">
        <v>2338</v>
      </c>
      <c r="AQ13" s="377"/>
      <c r="AR13" s="272" t="s">
        <v>2283</v>
      </c>
      <c r="AS13" s="272" t="s">
        <v>2433</v>
      </c>
      <c r="AT13" s="273" t="s">
        <v>2354</v>
      </c>
      <c r="AU13" s="496"/>
      <c r="AV13" s="496"/>
      <c r="AX13" s="10" t="s">
        <v>2287</v>
      </c>
      <c r="AY13" s="10" t="s">
        <v>2452</v>
      </c>
      <c r="AZ13" s="362" t="s">
        <v>2396</v>
      </c>
      <c r="BA13" s="521" t="s">
        <v>2479</v>
      </c>
      <c r="BB13" s="85" t="s">
        <v>2386</v>
      </c>
      <c r="BC13" s="363"/>
      <c r="BF13" s="274" t="s">
        <v>2184</v>
      </c>
    </row>
    <row r="14" spans="1:60" ht="66.599999999999994" thickBot="1">
      <c r="A14" s="10" t="s">
        <v>2287</v>
      </c>
      <c r="B14" s="282" t="s">
        <v>2288</v>
      </c>
      <c r="C14" s="403">
        <v>0.13800000000000001</v>
      </c>
      <c r="D14" s="403">
        <v>0.13400000000000001</v>
      </c>
      <c r="E14" s="403">
        <v>9.8000000000000004E-2</v>
      </c>
      <c r="F14" s="403">
        <v>0.08</v>
      </c>
      <c r="G14" s="403">
        <v>0.16400000000000001</v>
      </c>
      <c r="H14" s="403">
        <v>0.17100000000000001</v>
      </c>
      <c r="I14" s="403">
        <v>0.16</v>
      </c>
      <c r="J14" s="403">
        <v>0.16700000000000001</v>
      </c>
      <c r="K14" s="403">
        <v>0.124</v>
      </c>
      <c r="L14" s="403">
        <v>0.106</v>
      </c>
      <c r="M14" s="413"/>
      <c r="N14" s="320" t="s">
        <v>274</v>
      </c>
      <c r="O14" s="89" t="s">
        <v>325</v>
      </c>
      <c r="P14" s="34"/>
      <c r="Q14" s="34"/>
      <c r="R14" s="34"/>
      <c r="S14" s="34"/>
      <c r="T14" s="4" t="s">
        <v>326</v>
      </c>
      <c r="V14" s="6" t="s">
        <v>2204</v>
      </c>
      <c r="W14" s="4" t="s">
        <v>327</v>
      </c>
      <c r="Y14" s="435" t="s">
        <v>278</v>
      </c>
      <c r="Z14" s="436">
        <v>0.2</v>
      </c>
      <c r="AA14" s="437" t="s">
        <v>36</v>
      </c>
      <c r="AB14" s="438" t="s">
        <v>328</v>
      </c>
      <c r="AC14" s="439" t="str">
        <f t="shared" si="0"/>
        <v>東京都世田谷区</v>
      </c>
      <c r="AD14" s="440">
        <v>11.4</v>
      </c>
      <c r="AE14" s="441">
        <v>11.1</v>
      </c>
      <c r="AF14" s="442">
        <v>10.9</v>
      </c>
      <c r="AG14" s="435" t="s">
        <v>329</v>
      </c>
      <c r="AH14" s="436">
        <v>0.45</v>
      </c>
      <c r="AI14" s="34"/>
      <c r="AJ14" s="1"/>
      <c r="AK14" s="1"/>
      <c r="AL14" s="1"/>
      <c r="AM14" s="1"/>
      <c r="AN14" s="1"/>
      <c r="AO14" s="275" t="s">
        <v>2340</v>
      </c>
      <c r="AP14" s="276" t="s">
        <v>2338</v>
      </c>
      <c r="AQ14" s="377"/>
      <c r="AR14" s="272" t="s">
        <v>2285</v>
      </c>
      <c r="AS14" s="272" t="s">
        <v>2453</v>
      </c>
      <c r="AT14" s="273" t="s">
        <v>2354</v>
      </c>
      <c r="AU14" s="496"/>
      <c r="AV14" s="496"/>
      <c r="AX14" s="10" t="s">
        <v>2289</v>
      </c>
      <c r="AY14" s="10" t="s">
        <v>2365</v>
      </c>
      <c r="AZ14" s="362" t="s">
        <v>2397</v>
      </c>
      <c r="BA14" s="521" t="s">
        <v>2479</v>
      </c>
      <c r="BB14" s="85" t="s">
        <v>2386</v>
      </c>
      <c r="BC14" s="363"/>
      <c r="BF14" s="267"/>
    </row>
    <row r="15" spans="1:60" ht="66.599999999999994" thickBot="1">
      <c r="A15" s="10" t="s">
        <v>2289</v>
      </c>
      <c r="B15" s="282" t="s">
        <v>2290</v>
      </c>
      <c r="C15" s="403">
        <v>0.13800000000000001</v>
      </c>
      <c r="D15" s="403">
        <v>0.13400000000000001</v>
      </c>
      <c r="E15" s="403">
        <v>9.8000000000000004E-2</v>
      </c>
      <c r="F15" s="403">
        <v>0.08</v>
      </c>
      <c r="G15" s="403">
        <v>0.16400000000000001</v>
      </c>
      <c r="H15" s="403">
        <v>0.17100000000000001</v>
      </c>
      <c r="I15" s="403">
        <v>0.16</v>
      </c>
      <c r="J15" s="403">
        <v>0.16700000000000001</v>
      </c>
      <c r="K15" s="403">
        <v>0.124</v>
      </c>
      <c r="L15" s="403">
        <v>0.126</v>
      </c>
      <c r="M15" s="413"/>
      <c r="N15" s="320" t="s">
        <v>274</v>
      </c>
      <c r="O15" s="89" t="s">
        <v>298</v>
      </c>
      <c r="P15" s="34"/>
      <c r="Q15" s="34"/>
      <c r="R15" s="34"/>
      <c r="S15" s="34"/>
      <c r="T15" s="4" t="s">
        <v>4</v>
      </c>
      <c r="V15" s="6" t="s">
        <v>2204</v>
      </c>
      <c r="W15" s="4" t="s">
        <v>330</v>
      </c>
      <c r="Y15" s="435" t="s">
        <v>278</v>
      </c>
      <c r="Z15" s="436">
        <v>0.2</v>
      </c>
      <c r="AA15" s="437" t="s">
        <v>36</v>
      </c>
      <c r="AB15" s="438" t="s">
        <v>331</v>
      </c>
      <c r="AC15" s="439" t="str">
        <f t="shared" si="0"/>
        <v>東京都渋谷区</v>
      </c>
      <c r="AD15" s="440">
        <v>11.4</v>
      </c>
      <c r="AE15" s="441">
        <v>11.1</v>
      </c>
      <c r="AF15" s="442">
        <v>10.9</v>
      </c>
      <c r="AG15" s="435" t="s">
        <v>332</v>
      </c>
      <c r="AH15" s="436">
        <v>0.45</v>
      </c>
      <c r="AI15" s="34"/>
      <c r="AJ15" s="1"/>
      <c r="AK15" s="1"/>
      <c r="AL15" s="1"/>
      <c r="AM15" s="1"/>
      <c r="AN15" s="1"/>
      <c r="AO15" s="275" t="s">
        <v>2341</v>
      </c>
      <c r="AP15" s="276" t="s">
        <v>2338</v>
      </c>
      <c r="AQ15" s="377"/>
      <c r="AR15" s="272" t="s">
        <v>2287</v>
      </c>
      <c r="AS15" s="272" t="s">
        <v>2454</v>
      </c>
      <c r="AT15" s="273" t="s">
        <v>2354</v>
      </c>
      <c r="AU15" s="496"/>
      <c r="AV15" s="496"/>
      <c r="AX15" s="10" t="s">
        <v>2291</v>
      </c>
      <c r="AY15" s="10" t="s">
        <v>2366</v>
      </c>
      <c r="AZ15" s="362" t="s">
        <v>2398</v>
      </c>
      <c r="BA15" s="521" t="s">
        <v>2479</v>
      </c>
      <c r="BB15" s="85" t="s">
        <v>2386</v>
      </c>
      <c r="BC15" s="363"/>
      <c r="BF15" s="354" t="s">
        <v>324</v>
      </c>
    </row>
    <row r="16" spans="1:60" ht="66.599999999999994" thickBot="1">
      <c r="A16" s="10" t="s">
        <v>2291</v>
      </c>
      <c r="B16" s="282" t="s">
        <v>2292</v>
      </c>
      <c r="C16" s="403">
        <v>0.10299999999999999</v>
      </c>
      <c r="D16" s="403">
        <v>0.10099999999999999</v>
      </c>
      <c r="E16" s="403">
        <v>8.5999999999999993E-2</v>
      </c>
      <c r="F16" s="403">
        <v>6.8999999999999992E-2</v>
      </c>
      <c r="G16" s="403">
        <v>0.115</v>
      </c>
      <c r="H16" s="403">
        <v>0.11899999999999999</v>
      </c>
      <c r="I16" s="403">
        <v>0.113</v>
      </c>
      <c r="J16" s="403">
        <v>0.11700000000000001</v>
      </c>
      <c r="K16" s="403">
        <v>9.8000000000000004E-2</v>
      </c>
      <c r="L16" s="403">
        <v>8.1000000000000003E-2</v>
      </c>
      <c r="M16" s="413"/>
      <c r="N16" s="320" t="s">
        <v>274</v>
      </c>
      <c r="O16" s="89" t="s">
        <v>281</v>
      </c>
      <c r="P16" s="34"/>
      <c r="Q16" s="34"/>
      <c r="R16" s="34"/>
      <c r="S16" s="34"/>
      <c r="T16" s="4" t="s">
        <v>333</v>
      </c>
      <c r="V16" s="6" t="s">
        <v>2204</v>
      </c>
      <c r="W16" s="4" t="s">
        <v>334</v>
      </c>
      <c r="Y16" s="435" t="s">
        <v>278</v>
      </c>
      <c r="Z16" s="436">
        <v>0.2</v>
      </c>
      <c r="AA16" s="437" t="s">
        <v>36</v>
      </c>
      <c r="AB16" s="438" t="s">
        <v>335</v>
      </c>
      <c r="AC16" s="439" t="str">
        <f t="shared" si="0"/>
        <v>東京都中野区</v>
      </c>
      <c r="AD16" s="440">
        <v>11.4</v>
      </c>
      <c r="AE16" s="441">
        <v>11.1</v>
      </c>
      <c r="AF16" s="442">
        <v>10.9</v>
      </c>
      <c r="AG16" s="435" t="s">
        <v>336</v>
      </c>
      <c r="AH16" s="436">
        <v>0.45</v>
      </c>
      <c r="AI16" s="34"/>
      <c r="AJ16" s="1"/>
      <c r="AK16" s="1"/>
      <c r="AL16" s="1"/>
      <c r="AM16" s="1"/>
      <c r="AN16" s="1"/>
      <c r="AO16" s="275" t="s">
        <v>2293</v>
      </c>
      <c r="AP16" s="276" t="s">
        <v>2338</v>
      </c>
      <c r="AQ16" s="377"/>
      <c r="AR16" s="272" t="s">
        <v>2355</v>
      </c>
      <c r="AS16" s="272" t="s">
        <v>2434</v>
      </c>
      <c r="AT16" s="273" t="s">
        <v>2354</v>
      </c>
      <c r="AU16" s="496"/>
      <c r="AV16" s="496"/>
      <c r="AX16" s="10" t="s">
        <v>2293</v>
      </c>
      <c r="AY16" s="10" t="s">
        <v>2367</v>
      </c>
      <c r="AZ16" s="362" t="s">
        <v>2399</v>
      </c>
      <c r="BA16" s="521" t="s">
        <v>2479</v>
      </c>
      <c r="BB16" s="85" t="s">
        <v>2386</v>
      </c>
      <c r="BC16" s="363"/>
      <c r="BF16" s="6" t="s">
        <v>183</v>
      </c>
    </row>
    <row r="17" spans="1:58" ht="66.599999999999994" thickBot="1">
      <c r="A17" s="10" t="s">
        <v>2293</v>
      </c>
      <c r="B17" s="282" t="s">
        <v>2294</v>
      </c>
      <c r="C17" s="403">
        <v>0.10299999999999999</v>
      </c>
      <c r="D17" s="403">
        <v>0.10099999999999999</v>
      </c>
      <c r="E17" s="403">
        <v>8.5999999999999993E-2</v>
      </c>
      <c r="F17" s="403">
        <v>6.8999999999999992E-2</v>
      </c>
      <c r="G17" s="403">
        <v>0.115</v>
      </c>
      <c r="H17" s="403">
        <v>0.11899999999999999</v>
      </c>
      <c r="I17" s="403">
        <v>0.113</v>
      </c>
      <c r="J17" s="403">
        <v>0.11700000000000001</v>
      </c>
      <c r="K17" s="403">
        <v>9.8000000000000004E-2</v>
      </c>
      <c r="L17" s="403">
        <v>8.1000000000000003E-2</v>
      </c>
      <c r="M17" s="413"/>
      <c r="N17" s="320" t="s">
        <v>274</v>
      </c>
      <c r="O17" s="89" t="s">
        <v>325</v>
      </c>
      <c r="P17" s="34"/>
      <c r="Q17" s="34"/>
      <c r="R17" s="34"/>
      <c r="S17" s="34"/>
      <c r="T17" s="4" t="s">
        <v>337</v>
      </c>
      <c r="V17" s="6" t="s">
        <v>2204</v>
      </c>
      <c r="W17" s="4" t="s">
        <v>338</v>
      </c>
      <c r="Y17" s="435" t="s">
        <v>278</v>
      </c>
      <c r="Z17" s="436">
        <v>0.2</v>
      </c>
      <c r="AA17" s="437" t="s">
        <v>36</v>
      </c>
      <c r="AB17" s="438" t="s">
        <v>339</v>
      </c>
      <c r="AC17" s="439" t="str">
        <f t="shared" si="0"/>
        <v>東京都杉並区</v>
      </c>
      <c r="AD17" s="440">
        <v>11.4</v>
      </c>
      <c r="AE17" s="441">
        <v>11.1</v>
      </c>
      <c r="AF17" s="442">
        <v>10.9</v>
      </c>
      <c r="AG17" s="435" t="s">
        <v>340</v>
      </c>
      <c r="AH17" s="436">
        <v>0.55000000000000004</v>
      </c>
      <c r="AI17" s="34"/>
      <c r="AJ17" s="1"/>
      <c r="AK17" s="1"/>
      <c r="AL17" s="1"/>
      <c r="AM17" s="1"/>
      <c r="AN17" s="1"/>
      <c r="AO17" s="275" t="s">
        <v>2342</v>
      </c>
      <c r="AP17" s="276" t="s">
        <v>2338</v>
      </c>
      <c r="AQ17" s="377"/>
      <c r="AR17" s="272" t="s">
        <v>2341</v>
      </c>
      <c r="AS17" s="272" t="s">
        <v>2435</v>
      </c>
      <c r="AT17" s="273" t="s">
        <v>2354</v>
      </c>
      <c r="AU17" s="496"/>
      <c r="AV17" s="497"/>
      <c r="AX17" s="10" t="s">
        <v>2295</v>
      </c>
      <c r="AY17" s="10" t="s">
        <v>2468</v>
      </c>
      <c r="AZ17" s="362" t="s">
        <v>2400</v>
      </c>
      <c r="BA17" s="521" t="s">
        <v>2479</v>
      </c>
      <c r="BB17" s="85" t="s">
        <v>2386</v>
      </c>
      <c r="BC17" s="363"/>
      <c r="BF17" s="274" t="s">
        <v>184</v>
      </c>
    </row>
    <row r="18" spans="1:58" ht="66.599999999999994" thickBot="1">
      <c r="A18" s="10" t="s">
        <v>2295</v>
      </c>
      <c r="B18" s="282" t="s">
        <v>2296</v>
      </c>
      <c r="C18" s="403">
        <v>0.10299999999999999</v>
      </c>
      <c r="D18" s="403">
        <v>0.10099999999999999</v>
      </c>
      <c r="E18" s="403">
        <v>8.5999999999999993E-2</v>
      </c>
      <c r="F18" s="403">
        <v>6.8999999999999992E-2</v>
      </c>
      <c r="G18" s="403">
        <v>0.115</v>
      </c>
      <c r="H18" s="403">
        <v>0.11899999999999999</v>
      </c>
      <c r="I18" s="403">
        <v>0.113</v>
      </c>
      <c r="J18" s="403">
        <v>0.11700000000000001</v>
      </c>
      <c r="K18" s="403">
        <v>9.8000000000000004E-2</v>
      </c>
      <c r="L18" s="403">
        <v>8.1000000000000003E-2</v>
      </c>
      <c r="M18" s="412"/>
      <c r="N18" s="320" t="s">
        <v>274</v>
      </c>
      <c r="O18" s="89" t="s">
        <v>281</v>
      </c>
      <c r="P18" s="34"/>
      <c r="Q18" s="34"/>
      <c r="R18" s="34"/>
      <c r="S18" s="34"/>
      <c r="T18" s="4" t="s">
        <v>341</v>
      </c>
      <c r="V18" s="6" t="s">
        <v>2204</v>
      </c>
      <c r="W18" s="4" t="s">
        <v>342</v>
      </c>
      <c r="Y18" s="435" t="s">
        <v>278</v>
      </c>
      <c r="Z18" s="436">
        <v>0.2</v>
      </c>
      <c r="AA18" s="437" t="s">
        <v>36</v>
      </c>
      <c r="AB18" s="438" t="s">
        <v>343</v>
      </c>
      <c r="AC18" s="439" t="str">
        <f t="shared" si="0"/>
        <v>東京都豊島区</v>
      </c>
      <c r="AD18" s="440">
        <v>11.4</v>
      </c>
      <c r="AE18" s="441">
        <v>11.1</v>
      </c>
      <c r="AF18" s="442">
        <v>10.9</v>
      </c>
      <c r="AG18" s="435" t="s">
        <v>344</v>
      </c>
      <c r="AH18" s="436">
        <v>0.55000000000000004</v>
      </c>
      <c r="AI18" s="34"/>
      <c r="AJ18" s="1"/>
      <c r="AK18" s="1"/>
      <c r="AL18" s="1"/>
      <c r="AM18" s="1"/>
      <c r="AN18" s="1"/>
      <c r="AO18" s="275" t="s">
        <v>2297</v>
      </c>
      <c r="AP18" s="276" t="s">
        <v>2338</v>
      </c>
      <c r="AQ18" s="377"/>
      <c r="AR18" s="272" t="s">
        <v>2293</v>
      </c>
      <c r="AS18" s="272" t="s">
        <v>2436</v>
      </c>
      <c r="AT18" s="273" t="s">
        <v>2354</v>
      </c>
      <c r="AU18" s="496"/>
      <c r="AV18" s="497"/>
      <c r="AX18" s="10" t="s">
        <v>2297</v>
      </c>
      <c r="AY18" s="10" t="s">
        <v>2368</v>
      </c>
      <c r="AZ18" s="362" t="s">
        <v>2401</v>
      </c>
      <c r="BA18" s="521" t="s">
        <v>2479</v>
      </c>
      <c r="BB18" s="85" t="s">
        <v>2386</v>
      </c>
      <c r="BC18" s="363"/>
      <c r="BF18" s="274" t="s">
        <v>2184</v>
      </c>
    </row>
    <row r="19" spans="1:58" ht="66.599999999999994" thickBot="1">
      <c r="A19" s="10" t="s">
        <v>2297</v>
      </c>
      <c r="B19" s="282" t="s">
        <v>2298</v>
      </c>
      <c r="C19" s="403">
        <v>9.6000000000000002E-2</v>
      </c>
      <c r="D19" s="403">
        <v>9.4E-2</v>
      </c>
      <c r="E19" s="403">
        <v>7.9000000000000001E-2</v>
      </c>
      <c r="F19" s="403">
        <v>6.3E-2</v>
      </c>
      <c r="G19" s="403">
        <v>0.108</v>
      </c>
      <c r="H19" s="403">
        <v>0.112</v>
      </c>
      <c r="I19" s="403">
        <v>0.106</v>
      </c>
      <c r="J19" s="403">
        <v>0.11</v>
      </c>
      <c r="K19" s="403">
        <v>9.0999999999999998E-2</v>
      </c>
      <c r="L19" s="403">
        <v>7.4999999999999997E-2</v>
      </c>
      <c r="M19" s="412"/>
      <c r="N19" s="320" t="s">
        <v>274</v>
      </c>
      <c r="O19" s="89" t="s">
        <v>298</v>
      </c>
      <c r="P19" s="34"/>
      <c r="Q19" s="34"/>
      <c r="R19" s="34"/>
      <c r="S19" s="34"/>
      <c r="T19" s="4" t="s">
        <v>345</v>
      </c>
      <c r="V19" s="6" t="s">
        <v>2204</v>
      </c>
      <c r="W19" s="4" t="s">
        <v>346</v>
      </c>
      <c r="Y19" s="435" t="s">
        <v>278</v>
      </c>
      <c r="Z19" s="436">
        <v>0.2</v>
      </c>
      <c r="AA19" s="437" t="s">
        <v>36</v>
      </c>
      <c r="AB19" s="438" t="s">
        <v>347</v>
      </c>
      <c r="AC19" s="439" t="str">
        <f t="shared" si="0"/>
        <v>東京都北区</v>
      </c>
      <c r="AD19" s="440">
        <v>11.4</v>
      </c>
      <c r="AE19" s="441">
        <v>11.1</v>
      </c>
      <c r="AF19" s="442">
        <v>10.9</v>
      </c>
      <c r="AG19" s="435" t="s">
        <v>348</v>
      </c>
      <c r="AH19" s="436">
        <v>0.55000000000000004</v>
      </c>
      <c r="AI19" s="34"/>
      <c r="AJ19" s="1"/>
      <c r="AK19" s="1"/>
      <c r="AL19" s="1"/>
      <c r="AM19" s="1"/>
      <c r="AN19" s="1"/>
      <c r="AO19" s="275" t="s">
        <v>2299</v>
      </c>
      <c r="AP19" s="276" t="s">
        <v>2338</v>
      </c>
      <c r="AQ19" s="377"/>
      <c r="AR19" s="272" t="s">
        <v>2342</v>
      </c>
      <c r="AS19" s="272" t="s">
        <v>2455</v>
      </c>
      <c r="AT19" s="273" t="s">
        <v>2354</v>
      </c>
      <c r="AU19" s="496"/>
      <c r="AV19" s="497"/>
      <c r="AX19" s="10" t="s">
        <v>2299</v>
      </c>
      <c r="AY19" s="10" t="s">
        <v>2369</v>
      </c>
      <c r="AZ19" s="362" t="s">
        <v>2402</v>
      </c>
      <c r="BA19" s="521" t="s">
        <v>2479</v>
      </c>
      <c r="BB19" s="85" t="s">
        <v>2386</v>
      </c>
      <c r="BC19" s="363"/>
      <c r="BD19" s="500"/>
      <c r="BF19" s="93" t="s">
        <v>104</v>
      </c>
    </row>
    <row r="20" spans="1:58" ht="66.599999999999994" thickBot="1">
      <c r="A20" s="10" t="s">
        <v>2299</v>
      </c>
      <c r="B20" s="282" t="s">
        <v>2300</v>
      </c>
      <c r="C20" s="403">
        <v>9.2999999999999999E-2</v>
      </c>
      <c r="D20" s="403">
        <v>9.0999999999999998E-2</v>
      </c>
      <c r="E20" s="403">
        <v>7.5999999999999998E-2</v>
      </c>
      <c r="F20" s="403">
        <v>6.2E-2</v>
      </c>
      <c r="G20" s="403">
        <v>0.105</v>
      </c>
      <c r="H20" s="403">
        <v>0.109</v>
      </c>
      <c r="I20" s="403">
        <v>0.10299999999999999</v>
      </c>
      <c r="J20" s="403">
        <v>0.107</v>
      </c>
      <c r="K20" s="403">
        <v>8.7999999999999995E-2</v>
      </c>
      <c r="L20" s="403">
        <v>7.3999999999999996E-2</v>
      </c>
      <c r="M20" s="413"/>
      <c r="N20" s="320" t="s">
        <v>274</v>
      </c>
      <c r="O20" s="89" t="s">
        <v>281</v>
      </c>
      <c r="P20" s="34"/>
      <c r="Q20" s="34"/>
      <c r="R20" s="34"/>
      <c r="S20" s="34"/>
      <c r="T20" s="4" t="s">
        <v>349</v>
      </c>
      <c r="V20" s="6" t="s">
        <v>2204</v>
      </c>
      <c r="W20" s="4" t="s">
        <v>350</v>
      </c>
      <c r="Y20" s="435" t="s">
        <v>278</v>
      </c>
      <c r="Z20" s="436">
        <v>0.2</v>
      </c>
      <c r="AA20" s="437" t="s">
        <v>36</v>
      </c>
      <c r="AB20" s="438" t="s">
        <v>351</v>
      </c>
      <c r="AC20" s="439" t="str">
        <f t="shared" si="0"/>
        <v>東京都荒川区</v>
      </c>
      <c r="AD20" s="440">
        <v>11.4</v>
      </c>
      <c r="AE20" s="441">
        <v>11.1</v>
      </c>
      <c r="AF20" s="442">
        <v>10.9</v>
      </c>
      <c r="AG20" s="435" t="s">
        <v>352</v>
      </c>
      <c r="AH20" s="436">
        <v>0.55000000000000004</v>
      </c>
      <c r="AI20" s="34"/>
      <c r="AJ20" s="1"/>
      <c r="AK20" s="1"/>
      <c r="AL20" s="1"/>
      <c r="AM20" s="1"/>
      <c r="AN20" s="1"/>
      <c r="AO20" s="275" t="s">
        <v>2343</v>
      </c>
      <c r="AP20" s="276" t="s">
        <v>2338</v>
      </c>
      <c r="AQ20" s="377"/>
      <c r="AR20" s="272" t="s">
        <v>2297</v>
      </c>
      <c r="AS20" s="272" t="s">
        <v>2437</v>
      </c>
      <c r="AT20" s="273" t="s">
        <v>2354</v>
      </c>
      <c r="AU20" s="496"/>
      <c r="AV20" s="497"/>
      <c r="AX20" s="10" t="s">
        <v>2301</v>
      </c>
      <c r="AY20" s="10" t="s">
        <v>2370</v>
      </c>
      <c r="AZ20" s="362" t="s">
        <v>2403</v>
      </c>
      <c r="BA20" s="521" t="s">
        <v>2479</v>
      </c>
      <c r="BB20" s="85" t="s">
        <v>2386</v>
      </c>
      <c r="BC20" s="363"/>
      <c r="BD20" s="500"/>
    </row>
    <row r="21" spans="1:58" ht="66.599999999999994" thickBot="1">
      <c r="A21" s="10" t="s">
        <v>2301</v>
      </c>
      <c r="B21" s="282" t="s">
        <v>2302</v>
      </c>
      <c r="C21" s="403">
        <v>0.10299999999999999</v>
      </c>
      <c r="D21" s="404"/>
      <c r="E21" s="403">
        <v>8.5999999999999993E-2</v>
      </c>
      <c r="F21" s="403">
        <v>6.8999999999999992E-2</v>
      </c>
      <c r="G21" s="403">
        <v>0.115</v>
      </c>
      <c r="H21" s="403">
        <v>0.11899999999999999</v>
      </c>
      <c r="I21" s="404"/>
      <c r="J21" s="404"/>
      <c r="K21" s="403">
        <v>9.8000000000000004E-2</v>
      </c>
      <c r="L21" s="403">
        <v>8.1000000000000003E-2</v>
      </c>
      <c r="M21" s="413"/>
      <c r="N21" s="320" t="s">
        <v>274</v>
      </c>
      <c r="O21" s="89" t="s">
        <v>353</v>
      </c>
      <c r="P21" s="34"/>
      <c r="Q21" s="34"/>
      <c r="R21" s="34"/>
      <c r="S21" s="34"/>
      <c r="T21" s="4" t="s">
        <v>354</v>
      </c>
      <c r="V21" s="6" t="s">
        <v>2204</v>
      </c>
      <c r="W21" s="4" t="s">
        <v>355</v>
      </c>
      <c r="Y21" s="435" t="s">
        <v>278</v>
      </c>
      <c r="Z21" s="436">
        <v>0.2</v>
      </c>
      <c r="AA21" s="437" t="s">
        <v>36</v>
      </c>
      <c r="AB21" s="438" t="s">
        <v>356</v>
      </c>
      <c r="AC21" s="439" t="str">
        <f t="shared" si="0"/>
        <v>東京都板橋区</v>
      </c>
      <c r="AD21" s="440">
        <v>11.4</v>
      </c>
      <c r="AE21" s="441">
        <v>11.1</v>
      </c>
      <c r="AF21" s="442">
        <v>10.9</v>
      </c>
      <c r="AG21" s="435" t="s">
        <v>357</v>
      </c>
      <c r="AH21" s="436">
        <v>0.55000000000000004</v>
      </c>
      <c r="AI21" s="34"/>
      <c r="AJ21" s="1"/>
      <c r="AK21" s="1"/>
      <c r="AL21" s="1"/>
      <c r="AM21" s="1"/>
      <c r="AN21" s="1"/>
      <c r="AO21" s="275" t="s">
        <v>2344</v>
      </c>
      <c r="AP21" s="276" t="s">
        <v>2338</v>
      </c>
      <c r="AQ21" s="377"/>
      <c r="AR21" s="272" t="s">
        <v>2299</v>
      </c>
      <c r="AS21" s="272" t="s">
        <v>2438</v>
      </c>
      <c r="AT21" s="273" t="s">
        <v>2354</v>
      </c>
      <c r="AU21" s="496"/>
      <c r="AV21" s="497"/>
      <c r="AX21" s="10" t="s">
        <v>2303</v>
      </c>
      <c r="AY21" s="10" t="s">
        <v>2371</v>
      </c>
      <c r="AZ21" s="362" t="s">
        <v>2404</v>
      </c>
      <c r="BA21" s="521" t="s">
        <v>2479</v>
      </c>
      <c r="BB21" s="85" t="s">
        <v>2386</v>
      </c>
      <c r="BC21" s="363"/>
      <c r="BD21" s="500"/>
      <c r="BF21" s="387" t="s">
        <v>2210</v>
      </c>
    </row>
    <row r="22" spans="1:58" ht="66.599999999999994" thickBot="1">
      <c r="A22" s="10" t="s">
        <v>2303</v>
      </c>
      <c r="B22" s="282" t="s">
        <v>2304</v>
      </c>
      <c r="C22" s="403">
        <v>0.10299999999999999</v>
      </c>
      <c r="D22" s="403">
        <v>0.10099999999999999</v>
      </c>
      <c r="E22" s="403">
        <v>8.5999999999999993E-2</v>
      </c>
      <c r="F22" s="403">
        <v>6.8999999999999992E-2</v>
      </c>
      <c r="G22" s="403">
        <v>0.115</v>
      </c>
      <c r="H22" s="403">
        <v>0.11899999999999999</v>
      </c>
      <c r="I22" s="403">
        <v>0.113</v>
      </c>
      <c r="J22" s="403">
        <v>0.11700000000000001</v>
      </c>
      <c r="K22" s="403">
        <v>9.8000000000000004E-2</v>
      </c>
      <c r="L22" s="403">
        <v>8.1000000000000003E-2</v>
      </c>
      <c r="M22" s="413"/>
      <c r="N22" s="320" t="s">
        <v>274</v>
      </c>
      <c r="O22" s="89" t="s">
        <v>298</v>
      </c>
      <c r="P22" s="34"/>
      <c r="Q22" s="34"/>
      <c r="R22" s="34"/>
      <c r="S22" s="34"/>
      <c r="T22" s="4" t="s">
        <v>358</v>
      </c>
      <c r="V22" s="6" t="s">
        <v>2204</v>
      </c>
      <c r="W22" s="4" t="s">
        <v>359</v>
      </c>
      <c r="Y22" s="435" t="s">
        <v>278</v>
      </c>
      <c r="Z22" s="436">
        <v>0.2</v>
      </c>
      <c r="AA22" s="437" t="s">
        <v>36</v>
      </c>
      <c r="AB22" s="438" t="s">
        <v>360</v>
      </c>
      <c r="AC22" s="439" t="str">
        <f t="shared" si="0"/>
        <v>東京都練馬区</v>
      </c>
      <c r="AD22" s="440">
        <v>11.4</v>
      </c>
      <c r="AE22" s="441">
        <v>11.1</v>
      </c>
      <c r="AF22" s="442">
        <v>10.9</v>
      </c>
      <c r="AG22" s="435" t="s">
        <v>361</v>
      </c>
      <c r="AH22" s="436">
        <v>0.55000000000000004</v>
      </c>
      <c r="AI22" s="34"/>
      <c r="AJ22" s="1"/>
      <c r="AK22" s="1"/>
      <c r="AL22" s="1"/>
      <c r="AM22" s="1"/>
      <c r="AN22" s="1"/>
      <c r="AO22" s="275" t="s">
        <v>2345</v>
      </c>
      <c r="AP22" s="276" t="s">
        <v>2338</v>
      </c>
      <c r="AQ22" s="377"/>
      <c r="AR22" s="272" t="s">
        <v>2343</v>
      </c>
      <c r="AS22" s="272" t="s">
        <v>2439</v>
      </c>
      <c r="AT22" s="273" t="s">
        <v>2353</v>
      </c>
      <c r="AU22" s="496"/>
      <c r="AV22" s="497"/>
      <c r="AX22" s="10" t="s">
        <v>2305</v>
      </c>
      <c r="AY22" s="10" t="s">
        <v>2467</v>
      </c>
      <c r="AZ22" s="362" t="s">
        <v>2405</v>
      </c>
      <c r="BA22" s="521" t="s">
        <v>2479</v>
      </c>
      <c r="BB22" s="85" t="s">
        <v>2386</v>
      </c>
      <c r="BC22" s="363"/>
      <c r="BD22" s="500"/>
      <c r="BF22" s="266" t="s">
        <v>183</v>
      </c>
    </row>
    <row r="23" spans="1:58" ht="66.599999999999994" thickBot="1">
      <c r="A23" s="10" t="s">
        <v>2305</v>
      </c>
      <c r="B23" s="282" t="s">
        <v>2306</v>
      </c>
      <c r="C23" s="403">
        <v>0.14700000000000002</v>
      </c>
      <c r="D23" s="403">
        <v>0.14400000000000002</v>
      </c>
      <c r="E23" s="403">
        <v>0.128</v>
      </c>
      <c r="F23" s="403">
        <v>0.105</v>
      </c>
      <c r="G23" s="403">
        <v>0.16300000000000001</v>
      </c>
      <c r="H23" s="403">
        <v>0.16900000000000001</v>
      </c>
      <c r="I23" s="403">
        <v>0.16</v>
      </c>
      <c r="J23" s="403">
        <v>0.16600000000000001</v>
      </c>
      <c r="K23" s="403">
        <v>0.14399999999999999</v>
      </c>
      <c r="L23" s="403">
        <v>0.121</v>
      </c>
      <c r="M23" s="413"/>
      <c r="N23" s="320" t="s">
        <v>274</v>
      </c>
      <c r="O23" s="89" t="s">
        <v>362</v>
      </c>
      <c r="P23" s="34"/>
      <c r="Q23" s="34"/>
      <c r="R23" s="34"/>
      <c r="S23" s="34"/>
      <c r="T23" s="4" t="s">
        <v>363</v>
      </c>
      <c r="V23" s="6" t="s">
        <v>2204</v>
      </c>
      <c r="W23" s="4" t="s">
        <v>364</v>
      </c>
      <c r="Y23" s="435" t="s">
        <v>278</v>
      </c>
      <c r="Z23" s="436">
        <v>0.2</v>
      </c>
      <c r="AA23" s="437" t="s">
        <v>36</v>
      </c>
      <c r="AB23" s="438" t="s">
        <v>365</v>
      </c>
      <c r="AC23" s="439" t="str">
        <f t="shared" si="0"/>
        <v>東京都足立区</v>
      </c>
      <c r="AD23" s="440">
        <v>11.4</v>
      </c>
      <c r="AE23" s="441">
        <v>11.1</v>
      </c>
      <c r="AF23" s="442">
        <v>10.9</v>
      </c>
      <c r="AG23" s="443" t="s">
        <v>366</v>
      </c>
      <c r="AH23" s="436">
        <v>0.55000000000000004</v>
      </c>
      <c r="AI23" s="34"/>
      <c r="AJ23" s="1"/>
      <c r="AK23" s="1"/>
      <c r="AL23" s="1"/>
      <c r="AM23" s="1"/>
      <c r="AN23" s="1"/>
      <c r="AO23" s="275" t="s">
        <v>2346</v>
      </c>
      <c r="AP23" s="276" t="s">
        <v>2338</v>
      </c>
      <c r="AQ23" s="377"/>
      <c r="AR23" s="272" t="s">
        <v>2344</v>
      </c>
      <c r="AS23" s="272" t="s">
        <v>2440</v>
      </c>
      <c r="AT23" s="273" t="s">
        <v>2354</v>
      </c>
      <c r="AU23" s="496"/>
      <c r="AV23" s="497"/>
      <c r="AX23" s="10" t="s">
        <v>2307</v>
      </c>
      <c r="AY23" s="10" t="s">
        <v>2466</v>
      </c>
      <c r="AZ23" s="362" t="s">
        <v>2406</v>
      </c>
      <c r="BA23" s="521" t="s">
        <v>2479</v>
      </c>
      <c r="BB23" s="85" t="s">
        <v>2386</v>
      </c>
      <c r="BC23" s="363"/>
      <c r="BD23" s="500"/>
      <c r="BF23" s="274"/>
    </row>
    <row r="24" spans="1:58" ht="66.599999999999994" thickBot="1">
      <c r="A24" s="10" t="s">
        <v>2307</v>
      </c>
      <c r="B24" s="282" t="s">
        <v>2306</v>
      </c>
      <c r="C24" s="403">
        <v>0.14700000000000002</v>
      </c>
      <c r="D24" s="403">
        <v>0.14400000000000002</v>
      </c>
      <c r="E24" s="403">
        <v>0.128</v>
      </c>
      <c r="F24" s="403">
        <v>0.105</v>
      </c>
      <c r="G24" s="403">
        <v>0.16300000000000001</v>
      </c>
      <c r="H24" s="403">
        <v>0.16900000000000001</v>
      </c>
      <c r="I24" s="403">
        <v>0.16</v>
      </c>
      <c r="J24" s="403">
        <v>0.16600000000000001</v>
      </c>
      <c r="K24" s="403">
        <v>0.14399999999999999</v>
      </c>
      <c r="L24" s="403">
        <v>0.121</v>
      </c>
      <c r="M24" s="413"/>
      <c r="N24" s="320" t="s">
        <v>274</v>
      </c>
      <c r="O24" s="89" t="s">
        <v>281</v>
      </c>
      <c r="P24" s="34"/>
      <c r="Q24" s="34"/>
      <c r="R24" s="34"/>
      <c r="S24" s="34"/>
      <c r="T24" s="4" t="s">
        <v>367</v>
      </c>
      <c r="V24" s="6" t="s">
        <v>2204</v>
      </c>
      <c r="W24" s="4" t="s">
        <v>368</v>
      </c>
      <c r="Y24" s="435" t="s">
        <v>278</v>
      </c>
      <c r="Z24" s="436">
        <v>0.2</v>
      </c>
      <c r="AA24" s="437" t="s">
        <v>36</v>
      </c>
      <c r="AB24" s="438" t="s">
        <v>369</v>
      </c>
      <c r="AC24" s="439" t="str">
        <f t="shared" si="0"/>
        <v>東京都葛飾区</v>
      </c>
      <c r="AD24" s="440">
        <v>11.4</v>
      </c>
      <c r="AE24" s="441">
        <v>11.1</v>
      </c>
      <c r="AF24" s="442">
        <v>10.9</v>
      </c>
      <c r="AG24" s="443" t="s">
        <v>370</v>
      </c>
      <c r="AH24" s="436">
        <v>0.55000000000000004</v>
      </c>
      <c r="AI24" s="34"/>
      <c r="AJ24" s="1"/>
      <c r="AK24" s="1"/>
      <c r="AL24" s="1"/>
      <c r="AM24" s="1"/>
      <c r="AN24" s="1"/>
      <c r="AO24" s="275" t="s">
        <v>2347</v>
      </c>
      <c r="AP24" s="276" t="s">
        <v>2338</v>
      </c>
      <c r="AQ24" s="377"/>
      <c r="AR24" s="272" t="s">
        <v>2345</v>
      </c>
      <c r="AS24" s="272" t="s">
        <v>2456</v>
      </c>
      <c r="AT24" s="273" t="s">
        <v>2354</v>
      </c>
      <c r="AU24" s="496"/>
      <c r="AV24" s="497"/>
      <c r="AX24" s="10" t="s">
        <v>2308</v>
      </c>
      <c r="AY24" s="10" t="s">
        <v>2465</v>
      </c>
      <c r="AZ24" s="362" t="s">
        <v>2407</v>
      </c>
      <c r="BA24" s="521" t="s">
        <v>2479</v>
      </c>
      <c r="BB24" s="85" t="s">
        <v>2386</v>
      </c>
      <c r="BC24" s="363"/>
      <c r="BD24" s="500"/>
      <c r="BF24" s="274"/>
    </row>
    <row r="25" spans="1:58" ht="66.599999999999994" thickBot="1">
      <c r="A25" s="10" t="s">
        <v>2308</v>
      </c>
      <c r="B25" s="282" t="s">
        <v>2306</v>
      </c>
      <c r="C25" s="403">
        <v>0.21099999999999997</v>
      </c>
      <c r="D25" s="403">
        <v>0.20799999999999996</v>
      </c>
      <c r="E25" s="403">
        <v>0.192</v>
      </c>
      <c r="F25" s="403">
        <v>0.15200000000000002</v>
      </c>
      <c r="G25" s="403">
        <v>0.22700000000000001</v>
      </c>
      <c r="H25" s="403">
        <v>0.23300000000000001</v>
      </c>
      <c r="I25" s="403">
        <v>0.224</v>
      </c>
      <c r="J25" s="403">
        <v>0.23</v>
      </c>
      <c r="K25" s="403">
        <v>0.20799999999999999</v>
      </c>
      <c r="L25" s="403">
        <v>0.16800000000000001</v>
      </c>
      <c r="M25" s="413"/>
      <c r="N25" s="320" t="s">
        <v>274</v>
      </c>
      <c r="O25" s="89" t="s">
        <v>325</v>
      </c>
      <c r="P25" s="34"/>
      <c r="Q25" s="34"/>
      <c r="R25" s="34"/>
      <c r="S25" s="34"/>
      <c r="T25" s="4" t="s">
        <v>371</v>
      </c>
      <c r="V25" s="6" t="s">
        <v>2204</v>
      </c>
      <c r="W25" s="4" t="s">
        <v>372</v>
      </c>
      <c r="Y25" s="444" t="s">
        <v>278</v>
      </c>
      <c r="Z25" s="445">
        <v>0.2</v>
      </c>
      <c r="AA25" s="446" t="s">
        <v>36</v>
      </c>
      <c r="AB25" s="447" t="s">
        <v>373</v>
      </c>
      <c r="AC25" s="448" t="str">
        <f t="shared" si="0"/>
        <v>東京都江戸川区</v>
      </c>
      <c r="AD25" s="449">
        <v>11.4</v>
      </c>
      <c r="AE25" s="450">
        <v>11.1</v>
      </c>
      <c r="AF25" s="451">
        <v>10.9</v>
      </c>
      <c r="AG25" s="435" t="s">
        <v>374</v>
      </c>
      <c r="AH25" s="436">
        <v>0.45</v>
      </c>
      <c r="AI25" s="34"/>
      <c r="AJ25" s="1"/>
      <c r="AK25" s="1"/>
      <c r="AL25" s="1"/>
      <c r="AM25" s="1"/>
      <c r="AN25" s="1"/>
      <c r="AO25" s="275" t="s">
        <v>2309</v>
      </c>
      <c r="AP25" s="276" t="s">
        <v>2338</v>
      </c>
      <c r="AQ25" s="377"/>
      <c r="AR25" s="272" t="s">
        <v>2346</v>
      </c>
      <c r="AS25" s="272" t="s">
        <v>2457</v>
      </c>
      <c r="AT25" s="273" t="s">
        <v>2354</v>
      </c>
      <c r="AU25" s="496"/>
      <c r="AV25" s="497"/>
      <c r="AX25" s="10" t="s">
        <v>2309</v>
      </c>
      <c r="AY25" s="10" t="s">
        <v>2372</v>
      </c>
      <c r="AZ25" s="362" t="s">
        <v>2408</v>
      </c>
      <c r="BA25" s="521" t="s">
        <v>2479</v>
      </c>
      <c r="BB25" s="85" t="s">
        <v>2386</v>
      </c>
      <c r="BC25" s="363"/>
      <c r="BD25" s="500"/>
      <c r="BF25" s="274"/>
    </row>
    <row r="26" spans="1:58" ht="66.599999999999994" thickBot="1">
      <c r="A26" s="10" t="s">
        <v>2309</v>
      </c>
      <c r="B26" s="282" t="s">
        <v>2310</v>
      </c>
      <c r="C26" s="403">
        <v>0.13100000000000001</v>
      </c>
      <c r="D26" s="403">
        <v>0.128</v>
      </c>
      <c r="E26" s="403">
        <v>0.11800000000000001</v>
      </c>
      <c r="F26" s="403">
        <v>9.6000000000000002E-2</v>
      </c>
      <c r="G26" s="403">
        <v>0.152</v>
      </c>
      <c r="H26" s="403">
        <v>0.158</v>
      </c>
      <c r="I26" s="403">
        <v>0.14899999999999999</v>
      </c>
      <c r="J26" s="403">
        <v>0.155</v>
      </c>
      <c r="K26" s="403">
        <v>0.13900000000000001</v>
      </c>
      <c r="L26" s="403">
        <v>0.11700000000000001</v>
      </c>
      <c r="M26" s="414"/>
      <c r="N26" s="320" t="s">
        <v>274</v>
      </c>
      <c r="O26" s="89" t="s">
        <v>281</v>
      </c>
      <c r="P26" s="34"/>
      <c r="Q26" s="34"/>
      <c r="R26" s="34"/>
      <c r="S26" s="34"/>
      <c r="T26" s="4" t="s">
        <v>375</v>
      </c>
      <c r="V26" s="6" t="s">
        <v>2204</v>
      </c>
      <c r="W26" s="4" t="s">
        <v>376</v>
      </c>
      <c r="Y26" s="452" t="s">
        <v>377</v>
      </c>
      <c r="Z26" s="453">
        <v>0.16</v>
      </c>
      <c r="AA26" s="454" t="s">
        <v>36</v>
      </c>
      <c r="AB26" s="455" t="s">
        <v>378</v>
      </c>
      <c r="AC26" s="456" t="str">
        <f t="shared" si="0"/>
        <v>東京都調布市</v>
      </c>
      <c r="AD26" s="457">
        <v>11.12</v>
      </c>
      <c r="AE26" s="430">
        <v>10.88</v>
      </c>
      <c r="AF26" s="458">
        <v>10.72</v>
      </c>
      <c r="AG26" s="435" t="s">
        <v>379</v>
      </c>
      <c r="AH26" s="436">
        <v>0.45</v>
      </c>
      <c r="AI26" s="34"/>
      <c r="AJ26" s="1"/>
      <c r="AK26" s="1"/>
      <c r="AL26" s="1"/>
      <c r="AM26" s="1"/>
      <c r="AN26" s="1"/>
      <c r="AO26" s="275" t="s">
        <v>2311</v>
      </c>
      <c r="AP26" s="276" t="s">
        <v>2338</v>
      </c>
      <c r="AQ26" s="377"/>
      <c r="AR26" s="272" t="s">
        <v>2347</v>
      </c>
      <c r="AS26" s="272" t="s">
        <v>2458</v>
      </c>
      <c r="AT26" s="273" t="s">
        <v>2354</v>
      </c>
      <c r="AU26" s="496"/>
      <c r="AV26" s="497"/>
      <c r="AX26" s="10" t="s">
        <v>2311</v>
      </c>
      <c r="AY26" s="10" t="s">
        <v>2373</v>
      </c>
      <c r="AZ26" s="362" t="s">
        <v>2409</v>
      </c>
      <c r="BA26" s="521" t="s">
        <v>2479</v>
      </c>
      <c r="BB26" s="85" t="s">
        <v>2386</v>
      </c>
      <c r="BC26" s="363"/>
      <c r="BD26" s="500"/>
      <c r="BF26" s="503"/>
    </row>
    <row r="27" spans="1:58" ht="66.599999999999994" thickBot="1">
      <c r="A27" s="10" t="s">
        <v>2311</v>
      </c>
      <c r="B27" s="282" t="s">
        <v>2312</v>
      </c>
      <c r="C27" s="403">
        <v>0.17599999999999999</v>
      </c>
      <c r="D27" s="403">
        <v>0.17299999999999999</v>
      </c>
      <c r="E27" s="403">
        <v>0.16299999999999998</v>
      </c>
      <c r="F27" s="403">
        <v>0.129</v>
      </c>
      <c r="G27" s="403">
        <v>0.19700000000000001</v>
      </c>
      <c r="H27" s="403">
        <v>0.20300000000000001</v>
      </c>
      <c r="I27" s="403">
        <v>0.19400000000000001</v>
      </c>
      <c r="J27" s="403">
        <v>0.2</v>
      </c>
      <c r="K27" s="403">
        <v>0.184</v>
      </c>
      <c r="L27" s="403">
        <v>0.15</v>
      </c>
      <c r="M27" s="414"/>
      <c r="N27" s="320" t="s">
        <v>274</v>
      </c>
      <c r="O27" s="89" t="s">
        <v>325</v>
      </c>
      <c r="P27" s="34"/>
      <c r="Q27" s="34"/>
      <c r="R27" s="34"/>
      <c r="S27" s="34"/>
      <c r="T27" s="4" t="s">
        <v>380</v>
      </c>
      <c r="V27" s="6" t="s">
        <v>2204</v>
      </c>
      <c r="W27" s="4" t="s">
        <v>381</v>
      </c>
      <c r="Y27" s="435" t="s">
        <v>377</v>
      </c>
      <c r="Z27" s="436">
        <v>0.16</v>
      </c>
      <c r="AA27" s="437" t="s">
        <v>36</v>
      </c>
      <c r="AB27" s="438" t="s">
        <v>382</v>
      </c>
      <c r="AC27" s="459" t="str">
        <f t="shared" si="0"/>
        <v>東京都町田市</v>
      </c>
      <c r="AD27" s="460">
        <v>11.12</v>
      </c>
      <c r="AE27" s="438">
        <v>10.88</v>
      </c>
      <c r="AF27" s="456">
        <v>10.72</v>
      </c>
      <c r="AG27" s="435" t="s">
        <v>383</v>
      </c>
      <c r="AH27" s="436">
        <v>0.45</v>
      </c>
      <c r="AI27" s="34"/>
      <c r="AJ27" s="1"/>
      <c r="AK27" s="1"/>
      <c r="AL27" s="1"/>
      <c r="AM27" s="1"/>
      <c r="AN27" s="1"/>
      <c r="AO27" s="275" t="s">
        <v>2313</v>
      </c>
      <c r="AP27" s="276" t="s">
        <v>2338</v>
      </c>
      <c r="AQ27" s="377"/>
      <c r="AR27" s="272" t="s">
        <v>2309</v>
      </c>
      <c r="AS27" s="272" t="s">
        <v>2441</v>
      </c>
      <c r="AT27" s="273" t="s">
        <v>2354</v>
      </c>
      <c r="AU27" s="496"/>
      <c r="AV27" s="497"/>
      <c r="AX27" s="10" t="s">
        <v>2313</v>
      </c>
      <c r="AY27" s="10" t="s">
        <v>2374</v>
      </c>
      <c r="AZ27" s="362" t="s">
        <v>2410</v>
      </c>
      <c r="BA27" s="521" t="s">
        <v>2479</v>
      </c>
      <c r="BB27" s="85" t="s">
        <v>2386</v>
      </c>
      <c r="BC27" s="363"/>
      <c r="BD27" s="500"/>
    </row>
    <row r="28" spans="1:58" ht="66.599999999999994" thickBot="1">
      <c r="A28" s="10" t="s">
        <v>2313</v>
      </c>
      <c r="B28" s="282" t="s">
        <v>2314</v>
      </c>
      <c r="C28" s="403">
        <v>0.13400000000000001</v>
      </c>
      <c r="D28" s="403">
        <v>0.13100000000000001</v>
      </c>
      <c r="E28" s="403">
        <v>0.12100000000000001</v>
      </c>
      <c r="F28" s="403">
        <v>9.8000000000000004E-2</v>
      </c>
      <c r="G28" s="403">
        <v>0.155</v>
      </c>
      <c r="H28" s="403">
        <v>0.161</v>
      </c>
      <c r="I28" s="403">
        <v>0.152</v>
      </c>
      <c r="J28" s="403">
        <v>0.158</v>
      </c>
      <c r="K28" s="403">
        <v>0.14199999999999999</v>
      </c>
      <c r="L28" s="403">
        <v>0.11899999999999999</v>
      </c>
      <c r="M28" s="414"/>
      <c r="N28" s="320" t="s">
        <v>274</v>
      </c>
      <c r="O28" s="89" t="s">
        <v>298</v>
      </c>
      <c r="P28" s="34"/>
      <c r="Q28" s="34"/>
      <c r="R28" s="34"/>
      <c r="S28" s="34"/>
      <c r="T28" s="4" t="s">
        <v>384</v>
      </c>
      <c r="V28" s="6" t="s">
        <v>2204</v>
      </c>
      <c r="W28" s="4" t="s">
        <v>385</v>
      </c>
      <c r="Y28" s="435" t="s">
        <v>377</v>
      </c>
      <c r="Z28" s="436">
        <v>0.16</v>
      </c>
      <c r="AA28" s="437" t="s">
        <v>36</v>
      </c>
      <c r="AB28" s="438" t="s">
        <v>386</v>
      </c>
      <c r="AC28" s="459" t="str">
        <f t="shared" si="0"/>
        <v>東京都狛江市</v>
      </c>
      <c r="AD28" s="460">
        <v>11.12</v>
      </c>
      <c r="AE28" s="438">
        <v>10.88</v>
      </c>
      <c r="AF28" s="459">
        <v>10.72</v>
      </c>
      <c r="AG28" s="435" t="s">
        <v>387</v>
      </c>
      <c r="AH28" s="436">
        <v>0.45</v>
      </c>
      <c r="AI28" s="34"/>
      <c r="AJ28" s="1"/>
      <c r="AK28" s="1"/>
      <c r="AL28" s="1"/>
      <c r="AM28" s="1"/>
      <c r="AN28" s="1"/>
      <c r="AO28" s="275" t="s">
        <v>2315</v>
      </c>
      <c r="AP28" s="276" t="s">
        <v>2338</v>
      </c>
      <c r="AQ28" s="377"/>
      <c r="AR28" s="272" t="s">
        <v>2311</v>
      </c>
      <c r="AS28" s="272" t="s">
        <v>2442</v>
      </c>
      <c r="AT28" s="273" t="s">
        <v>2354</v>
      </c>
      <c r="AU28" s="496"/>
      <c r="AV28" s="497"/>
      <c r="AX28" s="10" t="s">
        <v>2315</v>
      </c>
      <c r="AY28" s="10" t="s">
        <v>2375</v>
      </c>
      <c r="AZ28" s="362" t="s">
        <v>2411</v>
      </c>
      <c r="BA28" s="521" t="s">
        <v>2479</v>
      </c>
      <c r="BB28" s="85" t="s">
        <v>2386</v>
      </c>
      <c r="BC28" s="363"/>
      <c r="BD28" s="500"/>
    </row>
    <row r="29" spans="1:58" ht="66.599999999999994" thickBot="1">
      <c r="A29" s="10" t="s">
        <v>2315</v>
      </c>
      <c r="B29" s="282" t="s">
        <v>2316</v>
      </c>
      <c r="C29" s="403">
        <v>0.129</v>
      </c>
      <c r="D29" s="404"/>
      <c r="E29" s="403">
        <v>0.11800000000000001</v>
      </c>
      <c r="F29" s="403">
        <v>9.6000000000000002E-2</v>
      </c>
      <c r="G29" s="403">
        <v>0.15</v>
      </c>
      <c r="H29" s="403">
        <v>0.156</v>
      </c>
      <c r="I29" s="404"/>
      <c r="J29" s="404"/>
      <c r="K29" s="403">
        <v>0.13900000000000001</v>
      </c>
      <c r="L29" s="403">
        <v>0.11700000000000001</v>
      </c>
      <c r="M29" s="414"/>
      <c r="N29" s="320" t="s">
        <v>274</v>
      </c>
      <c r="O29" s="89" t="s">
        <v>362</v>
      </c>
      <c r="P29" s="34"/>
      <c r="Q29" s="34"/>
      <c r="R29" s="34"/>
      <c r="S29" s="34"/>
      <c r="T29" s="4" t="s">
        <v>388</v>
      </c>
      <c r="V29" s="6" t="s">
        <v>2204</v>
      </c>
      <c r="W29" s="4" t="s">
        <v>389</v>
      </c>
      <c r="Y29" s="435" t="s">
        <v>377</v>
      </c>
      <c r="Z29" s="436">
        <v>0.16</v>
      </c>
      <c r="AA29" s="437" t="s">
        <v>36</v>
      </c>
      <c r="AB29" s="438" t="s">
        <v>390</v>
      </c>
      <c r="AC29" s="459" t="str">
        <f t="shared" si="0"/>
        <v>東京都多摩市</v>
      </c>
      <c r="AD29" s="460">
        <v>11.12</v>
      </c>
      <c r="AE29" s="438">
        <v>10.88</v>
      </c>
      <c r="AF29" s="459">
        <v>10.72</v>
      </c>
      <c r="AG29" s="435" t="s">
        <v>391</v>
      </c>
      <c r="AH29" s="436">
        <v>0.45</v>
      </c>
      <c r="AI29" s="34"/>
      <c r="AJ29" s="1"/>
      <c r="AK29" s="1"/>
      <c r="AL29" s="1"/>
      <c r="AM29" s="1"/>
      <c r="AN29" s="1"/>
      <c r="AO29" s="275" t="s">
        <v>2317</v>
      </c>
      <c r="AP29" s="276" t="s">
        <v>2338</v>
      </c>
      <c r="AQ29" s="377"/>
      <c r="AR29" s="272" t="s">
        <v>2313</v>
      </c>
      <c r="AS29" s="272" t="s">
        <v>2443</v>
      </c>
      <c r="AT29" s="273" t="s">
        <v>2354</v>
      </c>
      <c r="AU29" s="496"/>
      <c r="AV29" s="496"/>
      <c r="AX29" s="10" t="s">
        <v>2317</v>
      </c>
      <c r="AY29" s="10" t="s">
        <v>2376</v>
      </c>
      <c r="AZ29" s="362" t="s">
        <v>2412</v>
      </c>
      <c r="BA29" s="521" t="s">
        <v>2479</v>
      </c>
      <c r="BB29" s="85" t="s">
        <v>2386</v>
      </c>
      <c r="BC29" s="363"/>
      <c r="BD29" s="500"/>
    </row>
    <row r="30" spans="1:58" ht="66.599999999999994" thickBot="1">
      <c r="A30" s="10" t="s">
        <v>2317</v>
      </c>
      <c r="B30" s="282" t="s">
        <v>2318</v>
      </c>
      <c r="C30" s="403">
        <v>0.129</v>
      </c>
      <c r="D30" s="404"/>
      <c r="E30" s="403">
        <v>0.11800000000000001</v>
      </c>
      <c r="F30" s="403">
        <v>9.6000000000000002E-2</v>
      </c>
      <c r="G30" s="403">
        <v>0.15</v>
      </c>
      <c r="H30" s="403">
        <v>0.156</v>
      </c>
      <c r="I30" s="404"/>
      <c r="J30" s="404"/>
      <c r="K30" s="403">
        <v>0.13900000000000001</v>
      </c>
      <c r="L30" s="403">
        <v>0.11700000000000001</v>
      </c>
      <c r="M30" s="413"/>
      <c r="N30" s="320" t="s">
        <v>274</v>
      </c>
      <c r="O30" s="89" t="s">
        <v>281</v>
      </c>
      <c r="P30" s="34"/>
      <c r="Q30" s="34"/>
      <c r="R30" s="34"/>
      <c r="S30" s="34"/>
      <c r="T30" s="4" t="s">
        <v>392</v>
      </c>
      <c r="V30" s="6" t="s">
        <v>2204</v>
      </c>
      <c r="W30" s="4" t="s">
        <v>393</v>
      </c>
      <c r="Y30" s="435" t="s">
        <v>377</v>
      </c>
      <c r="Z30" s="436">
        <v>0.16</v>
      </c>
      <c r="AA30" s="437" t="s">
        <v>394</v>
      </c>
      <c r="AB30" s="438" t="s">
        <v>395</v>
      </c>
      <c r="AC30" s="459" t="str">
        <f t="shared" si="0"/>
        <v>神奈川県横浜市</v>
      </c>
      <c r="AD30" s="460">
        <v>11.12</v>
      </c>
      <c r="AE30" s="438">
        <v>10.88</v>
      </c>
      <c r="AF30" s="459">
        <v>10.72</v>
      </c>
      <c r="AG30" s="435" t="s">
        <v>396</v>
      </c>
      <c r="AH30" s="436">
        <v>0.45</v>
      </c>
      <c r="AI30" s="34"/>
      <c r="AJ30" s="1"/>
      <c r="AK30" s="1"/>
      <c r="AL30" s="1"/>
      <c r="AM30" s="1"/>
      <c r="AN30" s="1"/>
      <c r="AO30" s="275" t="s">
        <v>2319</v>
      </c>
      <c r="AP30" s="276" t="s">
        <v>2338</v>
      </c>
      <c r="AQ30" s="377"/>
      <c r="AR30" s="272" t="s">
        <v>2315</v>
      </c>
      <c r="AS30" s="272" t="s">
        <v>2444</v>
      </c>
      <c r="AT30" s="273" t="s">
        <v>2353</v>
      </c>
      <c r="AU30" s="496"/>
      <c r="AV30" s="496"/>
      <c r="AX30" s="10" t="s">
        <v>2319</v>
      </c>
      <c r="AY30" s="10" t="s">
        <v>2377</v>
      </c>
      <c r="AZ30" s="362" t="s">
        <v>2413</v>
      </c>
      <c r="BA30" s="521" t="s">
        <v>2479</v>
      </c>
      <c r="BB30" s="85" t="s">
        <v>2386</v>
      </c>
      <c r="BC30" s="363"/>
      <c r="BD30" s="500"/>
    </row>
    <row r="31" spans="1:58" ht="66.599999999999994" thickBot="1">
      <c r="A31" s="10" t="s">
        <v>2319</v>
      </c>
      <c r="B31" s="282" t="s">
        <v>2320</v>
      </c>
      <c r="C31" s="403">
        <v>0.21100000000000002</v>
      </c>
      <c r="D31" s="403">
        <v>0.20700000000000002</v>
      </c>
      <c r="E31" s="403">
        <v>0.16800000000000001</v>
      </c>
      <c r="F31" s="403">
        <v>0.14099999999999999</v>
      </c>
      <c r="G31" s="403">
        <v>0.30499999999999999</v>
      </c>
      <c r="H31" s="403">
        <v>0.32</v>
      </c>
      <c r="I31" s="403">
        <v>0.30099999999999999</v>
      </c>
      <c r="J31" s="403">
        <v>0.316</v>
      </c>
      <c r="K31" s="403">
        <v>0.26200000000000001</v>
      </c>
      <c r="L31" s="403">
        <v>0.23499999999999999</v>
      </c>
      <c r="M31" s="413"/>
      <c r="N31" s="320" t="s">
        <v>274</v>
      </c>
      <c r="O31" s="89" t="s">
        <v>281</v>
      </c>
      <c r="P31" s="34"/>
      <c r="Q31" s="34"/>
      <c r="R31" s="34"/>
      <c r="S31" s="34"/>
      <c r="T31" s="4" t="s">
        <v>397</v>
      </c>
      <c r="V31" s="6" t="s">
        <v>2204</v>
      </c>
      <c r="W31" s="4" t="s">
        <v>398</v>
      </c>
      <c r="Y31" s="435" t="s">
        <v>377</v>
      </c>
      <c r="Z31" s="436">
        <v>0.16</v>
      </c>
      <c r="AA31" s="437" t="s">
        <v>394</v>
      </c>
      <c r="AB31" s="438" t="s">
        <v>399</v>
      </c>
      <c r="AC31" s="459" t="str">
        <f t="shared" si="0"/>
        <v>神奈川県川崎市</v>
      </c>
      <c r="AD31" s="460">
        <v>11.12</v>
      </c>
      <c r="AE31" s="438">
        <v>10.88</v>
      </c>
      <c r="AF31" s="459">
        <v>10.72</v>
      </c>
      <c r="AG31" s="435" t="s">
        <v>400</v>
      </c>
      <c r="AH31" s="436">
        <v>0.55000000000000004</v>
      </c>
      <c r="AI31" s="34"/>
      <c r="AJ31" s="1"/>
      <c r="AK31" s="1"/>
      <c r="AL31" s="1"/>
      <c r="AM31" s="1"/>
      <c r="AN31" s="1"/>
      <c r="AO31" s="277" t="s">
        <v>2321</v>
      </c>
      <c r="AP31" s="276" t="s">
        <v>2338</v>
      </c>
      <c r="AQ31" s="377"/>
      <c r="AR31" s="272" t="s">
        <v>2317</v>
      </c>
      <c r="AS31" s="272" t="s">
        <v>2445</v>
      </c>
      <c r="AT31" s="273" t="s">
        <v>2353</v>
      </c>
      <c r="AU31" s="496"/>
      <c r="AV31" s="496"/>
      <c r="AX31" s="10" t="s">
        <v>2321</v>
      </c>
      <c r="AY31" s="10" t="s">
        <v>2378</v>
      </c>
      <c r="AZ31" s="362" t="s">
        <v>2414</v>
      </c>
      <c r="BA31" s="521" t="s">
        <v>2479</v>
      </c>
      <c r="BB31" s="85" t="s">
        <v>2386</v>
      </c>
      <c r="BC31" s="363"/>
      <c r="BD31" s="500"/>
    </row>
    <row r="32" spans="1:58" ht="66.599999999999994" thickBot="1">
      <c r="A32" s="10" t="s">
        <v>2321</v>
      </c>
      <c r="B32" s="282" t="s">
        <v>2322</v>
      </c>
      <c r="C32" s="405">
        <v>0.191</v>
      </c>
      <c r="D32" s="405">
        <v>0.187</v>
      </c>
      <c r="E32" s="405">
        <v>0.14799999999999999</v>
      </c>
      <c r="F32" s="405">
        <v>0.127</v>
      </c>
      <c r="G32" s="405">
        <v>0.28499999999999998</v>
      </c>
      <c r="H32" s="405">
        <v>0.3</v>
      </c>
      <c r="I32" s="405">
        <v>0.28100000000000003</v>
      </c>
      <c r="J32" s="405">
        <v>0.29599999999999999</v>
      </c>
      <c r="K32" s="405">
        <v>0.24199999999999999</v>
      </c>
      <c r="L32" s="405">
        <v>0.221</v>
      </c>
      <c r="M32" s="414"/>
      <c r="N32" s="320" t="s">
        <v>274</v>
      </c>
      <c r="O32" s="89" t="s">
        <v>281</v>
      </c>
      <c r="P32" s="34"/>
      <c r="Q32" s="34"/>
      <c r="R32" s="34"/>
      <c r="S32" s="34"/>
      <c r="T32" s="4" t="s">
        <v>401</v>
      </c>
      <c r="V32" s="6" t="s">
        <v>2204</v>
      </c>
      <c r="W32" s="4" t="s">
        <v>402</v>
      </c>
      <c r="Y32" s="461" t="s">
        <v>377</v>
      </c>
      <c r="Z32" s="462">
        <v>0.16</v>
      </c>
      <c r="AA32" s="463" t="s">
        <v>403</v>
      </c>
      <c r="AB32" s="464" t="s">
        <v>404</v>
      </c>
      <c r="AC32" s="465" t="str">
        <f t="shared" si="0"/>
        <v>大阪府大阪市</v>
      </c>
      <c r="AD32" s="466">
        <v>11.12</v>
      </c>
      <c r="AE32" s="447">
        <v>10.88</v>
      </c>
      <c r="AF32" s="467">
        <v>10.72</v>
      </c>
      <c r="AG32" s="435" t="s">
        <v>405</v>
      </c>
      <c r="AH32" s="436">
        <v>0.55000000000000004</v>
      </c>
      <c r="AI32" s="34"/>
      <c r="AJ32" s="1"/>
      <c r="AK32" s="1"/>
      <c r="AL32" s="1"/>
      <c r="AM32" s="1"/>
      <c r="AN32" s="1"/>
      <c r="AO32" s="275" t="s">
        <v>2348</v>
      </c>
      <c r="AP32" s="276" t="s">
        <v>2338</v>
      </c>
      <c r="AQ32" s="377"/>
      <c r="AR32" s="272" t="s">
        <v>2319</v>
      </c>
      <c r="AS32" s="272" t="s">
        <v>2446</v>
      </c>
      <c r="AT32" s="273" t="s">
        <v>2354</v>
      </c>
      <c r="AU32" s="496"/>
      <c r="AV32" s="496"/>
      <c r="AX32" s="10" t="s">
        <v>2323</v>
      </c>
      <c r="AY32" s="10" t="s">
        <v>2379</v>
      </c>
      <c r="AZ32" s="362" t="s">
        <v>2415</v>
      </c>
      <c r="BA32" s="521" t="s">
        <v>2479</v>
      </c>
      <c r="BB32" s="85" t="s">
        <v>2386</v>
      </c>
      <c r="BC32" s="363"/>
      <c r="BD32" s="500"/>
    </row>
    <row r="33" spans="1:56" ht="67.2" thickTop="1" thickBot="1">
      <c r="A33" s="10" t="s">
        <v>2323</v>
      </c>
      <c r="B33" s="282" t="s">
        <v>2278</v>
      </c>
      <c r="C33" s="406">
        <v>0.10100000000000001</v>
      </c>
      <c r="D33" s="407"/>
      <c r="E33" s="406">
        <v>8.4000000000000005E-2</v>
      </c>
      <c r="F33" s="406">
        <v>6.7000000000000004E-2</v>
      </c>
      <c r="G33" s="406">
        <v>0.113</v>
      </c>
      <c r="H33" s="406">
        <v>0.11700000000000001</v>
      </c>
      <c r="I33" s="407"/>
      <c r="J33" s="407"/>
      <c r="K33" s="406">
        <v>9.6000000000000002E-2</v>
      </c>
      <c r="L33" s="406">
        <v>7.9000000000000001E-2</v>
      </c>
      <c r="M33" s="414"/>
      <c r="N33" s="320" t="s">
        <v>274</v>
      </c>
      <c r="O33" s="89" t="s">
        <v>298</v>
      </c>
      <c r="P33" s="34"/>
      <c r="Q33" s="34"/>
      <c r="R33" s="34"/>
      <c r="S33" s="34"/>
      <c r="T33" s="4" t="s">
        <v>406</v>
      </c>
      <c r="V33" s="6" t="s">
        <v>2204</v>
      </c>
      <c r="W33" s="4" t="s">
        <v>407</v>
      </c>
      <c r="Y33" s="427" t="s">
        <v>408</v>
      </c>
      <c r="Z33" s="428">
        <v>0.15</v>
      </c>
      <c r="AA33" s="429" t="s">
        <v>409</v>
      </c>
      <c r="AB33" s="430" t="s">
        <v>410</v>
      </c>
      <c r="AC33" s="431" t="str">
        <f t="shared" si="0"/>
        <v>埼玉県さいたま市</v>
      </c>
      <c r="AD33" s="457">
        <v>11.05</v>
      </c>
      <c r="AE33" s="430">
        <v>10.83</v>
      </c>
      <c r="AF33" s="458">
        <v>10.68</v>
      </c>
      <c r="AG33" s="435" t="s">
        <v>411</v>
      </c>
      <c r="AH33" s="436">
        <v>0.45</v>
      </c>
      <c r="AJ33" s="1"/>
      <c r="AK33" s="1"/>
      <c r="AL33" s="1"/>
      <c r="AM33" s="1"/>
      <c r="AN33" s="1"/>
      <c r="AO33" s="275" t="s">
        <v>2324</v>
      </c>
      <c r="AP33" s="276" t="s">
        <v>2338</v>
      </c>
      <c r="AQ33" s="377"/>
      <c r="AR33" s="4" t="s">
        <v>2321</v>
      </c>
      <c r="AS33" s="4" t="s">
        <v>2447</v>
      </c>
      <c r="AT33" s="273" t="s">
        <v>2354</v>
      </c>
      <c r="AU33" s="496"/>
      <c r="AV33" s="497"/>
      <c r="AX33" s="10" t="s">
        <v>2324</v>
      </c>
      <c r="AY33" s="10" t="s">
        <v>2464</v>
      </c>
      <c r="AZ33" s="362" t="s">
        <v>2416</v>
      </c>
      <c r="BA33" s="521" t="s">
        <v>2479</v>
      </c>
      <c r="BB33" s="85" t="s">
        <v>2386</v>
      </c>
      <c r="BC33" s="363"/>
      <c r="BD33" s="500"/>
    </row>
    <row r="34" spans="1:56" ht="66.599999999999994" thickBot="1">
      <c r="A34" s="10" t="s">
        <v>2324</v>
      </c>
      <c r="B34" s="282" t="s">
        <v>2286</v>
      </c>
      <c r="C34" s="403">
        <v>0.125</v>
      </c>
      <c r="D34" s="404"/>
      <c r="E34" s="403">
        <v>9.9000000000000005E-2</v>
      </c>
      <c r="F34" s="403">
        <v>8.1000000000000003E-2</v>
      </c>
      <c r="G34" s="403">
        <v>0.151</v>
      </c>
      <c r="H34" s="403">
        <v>0.158</v>
      </c>
      <c r="I34" s="404"/>
      <c r="J34" s="404"/>
      <c r="K34" s="403">
        <v>0.125</v>
      </c>
      <c r="L34" s="403">
        <v>0.107</v>
      </c>
      <c r="M34" s="414"/>
      <c r="N34" s="320" t="s">
        <v>274</v>
      </c>
      <c r="O34" s="89" t="s">
        <v>281</v>
      </c>
      <c r="P34" s="34"/>
      <c r="Q34" s="34"/>
      <c r="R34" s="34"/>
      <c r="S34" s="34"/>
      <c r="T34" s="4" t="s">
        <v>412</v>
      </c>
      <c r="V34" s="6" t="s">
        <v>2204</v>
      </c>
      <c r="W34" s="4" t="s">
        <v>413</v>
      </c>
      <c r="Y34" s="435" t="s">
        <v>408</v>
      </c>
      <c r="Z34" s="436">
        <v>0.15</v>
      </c>
      <c r="AA34" s="437" t="s">
        <v>414</v>
      </c>
      <c r="AB34" s="438" t="s">
        <v>415</v>
      </c>
      <c r="AC34" s="439" t="str">
        <f t="shared" si="0"/>
        <v>千葉県千葉市</v>
      </c>
      <c r="AD34" s="460">
        <v>11.05</v>
      </c>
      <c r="AE34" s="438">
        <v>10.83</v>
      </c>
      <c r="AF34" s="459">
        <v>10.68</v>
      </c>
      <c r="AG34" s="435" t="s">
        <v>416</v>
      </c>
      <c r="AH34" s="436">
        <v>0.45</v>
      </c>
      <c r="AJ34" s="1"/>
      <c r="AK34" s="1"/>
      <c r="AL34" s="1"/>
      <c r="AM34" s="1"/>
      <c r="AN34" s="1"/>
      <c r="AO34" s="275" t="s">
        <v>2325</v>
      </c>
      <c r="AP34" s="276" t="s">
        <v>2338</v>
      </c>
      <c r="AQ34" s="377"/>
      <c r="AR34" s="272" t="s">
        <v>2348</v>
      </c>
      <c r="AS34" s="272" t="s">
        <v>2448</v>
      </c>
      <c r="AT34" s="273" t="s">
        <v>2353</v>
      </c>
      <c r="AU34" s="496"/>
      <c r="AV34" s="496"/>
      <c r="AX34" s="10" t="s">
        <v>2325</v>
      </c>
      <c r="AY34" s="10" t="s">
        <v>2463</v>
      </c>
      <c r="AZ34" s="362" t="s">
        <v>2417</v>
      </c>
      <c r="BA34" s="521" t="s">
        <v>2479</v>
      </c>
      <c r="BB34" s="85" t="s">
        <v>2386</v>
      </c>
      <c r="BC34" s="363"/>
      <c r="BD34" s="500"/>
    </row>
    <row r="35" spans="1:56" ht="66.599999999999994" thickBot="1">
      <c r="A35" s="10" t="s">
        <v>2325</v>
      </c>
      <c r="B35" s="282" t="s">
        <v>2288</v>
      </c>
      <c r="C35" s="403">
        <v>0.125</v>
      </c>
      <c r="D35" s="404"/>
      <c r="E35" s="403">
        <v>9.9000000000000005E-2</v>
      </c>
      <c r="F35" s="403">
        <v>8.1000000000000003E-2</v>
      </c>
      <c r="G35" s="403">
        <v>0.151</v>
      </c>
      <c r="H35" s="403">
        <v>0.158</v>
      </c>
      <c r="I35" s="404"/>
      <c r="J35" s="404"/>
      <c r="K35" s="403">
        <v>0.125</v>
      </c>
      <c r="L35" s="403">
        <v>0.107</v>
      </c>
      <c r="M35" s="413"/>
      <c r="N35" s="320" t="s">
        <v>274</v>
      </c>
      <c r="O35" s="89" t="s">
        <v>281</v>
      </c>
      <c r="P35" s="34"/>
      <c r="Q35" s="34"/>
      <c r="R35" s="34"/>
      <c r="S35" s="34"/>
      <c r="T35" s="4" t="s">
        <v>417</v>
      </c>
      <c r="V35" s="6" t="s">
        <v>2204</v>
      </c>
      <c r="W35" s="4" t="s">
        <v>418</v>
      </c>
      <c r="Y35" s="435" t="s">
        <v>408</v>
      </c>
      <c r="Z35" s="436">
        <v>0.15</v>
      </c>
      <c r="AA35" s="437" t="s">
        <v>414</v>
      </c>
      <c r="AB35" s="438" t="s">
        <v>419</v>
      </c>
      <c r="AC35" s="439" t="str">
        <f t="shared" si="0"/>
        <v>千葉県浦安市</v>
      </c>
      <c r="AD35" s="460">
        <v>11.05</v>
      </c>
      <c r="AE35" s="438">
        <v>10.83</v>
      </c>
      <c r="AF35" s="459">
        <v>10.68</v>
      </c>
      <c r="AG35" s="435" t="s">
        <v>420</v>
      </c>
      <c r="AH35" s="436">
        <v>0.45</v>
      </c>
      <c r="AJ35" s="1"/>
      <c r="AK35" s="1"/>
      <c r="AL35" s="1"/>
      <c r="AM35" s="1"/>
      <c r="AN35" s="1"/>
      <c r="AO35" s="277" t="s">
        <v>2326</v>
      </c>
      <c r="AP35" s="276" t="s">
        <v>2338</v>
      </c>
      <c r="AQ35" s="377"/>
      <c r="AR35" s="272" t="s">
        <v>2324</v>
      </c>
      <c r="AS35" s="272" t="s">
        <v>2459</v>
      </c>
      <c r="AT35" s="273" t="s">
        <v>2353</v>
      </c>
      <c r="AU35" s="496"/>
      <c r="AV35" s="496"/>
      <c r="AX35" s="10" t="s">
        <v>2326</v>
      </c>
      <c r="AY35" s="10" t="s">
        <v>2380</v>
      </c>
      <c r="AZ35" s="362" t="s">
        <v>2418</v>
      </c>
      <c r="BA35" s="521" t="s">
        <v>2479</v>
      </c>
      <c r="BB35" s="85" t="s">
        <v>2386</v>
      </c>
      <c r="BC35" s="363"/>
      <c r="BD35" s="500"/>
    </row>
    <row r="36" spans="1:56" ht="66.599999999999994" thickBot="1">
      <c r="A36" s="10" t="s">
        <v>2326</v>
      </c>
      <c r="B36" s="282" t="s">
        <v>2294</v>
      </c>
      <c r="C36" s="403">
        <v>0.107</v>
      </c>
      <c r="D36" s="404"/>
      <c r="E36" s="403">
        <v>8.8999999999999996E-2</v>
      </c>
      <c r="F36" s="403">
        <v>7.0999999999999994E-2</v>
      </c>
      <c r="G36" s="403">
        <v>0.11899999999999999</v>
      </c>
      <c r="H36" s="403">
        <v>0.123</v>
      </c>
      <c r="I36" s="404"/>
      <c r="J36" s="404"/>
      <c r="K36" s="403">
        <v>0.10100000000000001</v>
      </c>
      <c r="L36" s="403">
        <v>8.3000000000000004E-2</v>
      </c>
      <c r="M36" s="413"/>
      <c r="N36" s="320" t="s">
        <v>274</v>
      </c>
      <c r="O36" s="89" t="s">
        <v>298</v>
      </c>
      <c r="P36" s="34"/>
      <c r="Q36" s="34"/>
      <c r="R36" s="34"/>
      <c r="S36" s="34"/>
      <c r="T36" s="4" t="s">
        <v>421</v>
      </c>
      <c r="V36" s="6" t="s">
        <v>2204</v>
      </c>
      <c r="W36" s="4" t="s">
        <v>422</v>
      </c>
      <c r="Y36" s="435" t="s">
        <v>408</v>
      </c>
      <c r="Z36" s="436">
        <v>0.15</v>
      </c>
      <c r="AA36" s="437" t="s">
        <v>36</v>
      </c>
      <c r="AB36" s="438" t="s">
        <v>423</v>
      </c>
      <c r="AC36" s="439" t="str">
        <f t="shared" si="0"/>
        <v>東京都八王子市</v>
      </c>
      <c r="AD36" s="460">
        <v>11.05</v>
      </c>
      <c r="AE36" s="438">
        <v>10.83</v>
      </c>
      <c r="AF36" s="459">
        <v>10.68</v>
      </c>
      <c r="AG36" s="443" t="s">
        <v>424</v>
      </c>
      <c r="AH36" s="436">
        <v>0.45</v>
      </c>
      <c r="AJ36" s="1"/>
      <c r="AK36" s="1"/>
      <c r="AL36" s="1"/>
      <c r="AM36" s="1"/>
      <c r="AN36" s="1"/>
      <c r="AO36" s="275" t="s">
        <v>2327</v>
      </c>
      <c r="AP36" s="276" t="s">
        <v>2338</v>
      </c>
      <c r="AQ36" s="377"/>
      <c r="AR36" s="272" t="s">
        <v>2325</v>
      </c>
      <c r="AS36" s="272" t="s">
        <v>2460</v>
      </c>
      <c r="AT36" s="273" t="s">
        <v>2353</v>
      </c>
      <c r="AU36" s="496"/>
      <c r="AV36" s="496"/>
      <c r="AX36" s="10" t="s">
        <v>2327</v>
      </c>
      <c r="AY36" s="10" t="s">
        <v>2381</v>
      </c>
      <c r="AZ36" s="362" t="s">
        <v>2419</v>
      </c>
      <c r="BA36" s="521" t="s">
        <v>2479</v>
      </c>
      <c r="BB36" s="85" t="s">
        <v>2386</v>
      </c>
      <c r="BC36" s="363"/>
      <c r="BD36" s="500"/>
    </row>
    <row r="37" spans="1:56" ht="66.599999999999994" thickBot="1">
      <c r="A37" s="10" t="s">
        <v>2327</v>
      </c>
      <c r="B37" s="282" t="s">
        <v>2298</v>
      </c>
      <c r="C37" s="403">
        <v>0.105</v>
      </c>
      <c r="D37" s="404"/>
      <c r="E37" s="403">
        <v>8.6999999999999994E-2</v>
      </c>
      <c r="F37" s="403">
        <v>6.8999999999999992E-2</v>
      </c>
      <c r="G37" s="403">
        <v>0.11700000000000001</v>
      </c>
      <c r="H37" s="403">
        <v>0.121</v>
      </c>
      <c r="I37" s="404"/>
      <c r="J37" s="404"/>
      <c r="K37" s="403">
        <v>9.9000000000000005E-2</v>
      </c>
      <c r="L37" s="403">
        <v>8.1000000000000003E-2</v>
      </c>
      <c r="M37" s="414"/>
      <c r="N37" s="320" t="s">
        <v>274</v>
      </c>
      <c r="O37" s="89" t="s">
        <v>281</v>
      </c>
      <c r="P37" s="34"/>
      <c r="Q37" s="34"/>
      <c r="R37" s="34"/>
      <c r="S37" s="34"/>
      <c r="T37" s="4" t="s">
        <v>425</v>
      </c>
      <c r="V37" s="6" t="s">
        <v>2204</v>
      </c>
      <c r="W37" s="4" t="s">
        <v>426</v>
      </c>
      <c r="Y37" s="435" t="s">
        <v>408</v>
      </c>
      <c r="Z37" s="436">
        <v>0.15</v>
      </c>
      <c r="AA37" s="437" t="s">
        <v>36</v>
      </c>
      <c r="AB37" s="438" t="s">
        <v>427</v>
      </c>
      <c r="AC37" s="439" t="str">
        <f t="shared" si="0"/>
        <v>東京都武蔵野市</v>
      </c>
      <c r="AD37" s="460">
        <v>11.05</v>
      </c>
      <c r="AE37" s="438">
        <v>10.83</v>
      </c>
      <c r="AF37" s="459">
        <v>10.68</v>
      </c>
      <c r="AG37" s="443" t="s">
        <v>428</v>
      </c>
      <c r="AH37" s="436">
        <v>0.45</v>
      </c>
      <c r="AJ37" s="1"/>
      <c r="AK37" s="1"/>
      <c r="AL37" s="1"/>
      <c r="AM37" s="1"/>
      <c r="AN37" s="1"/>
      <c r="AO37" s="490" t="s">
        <v>2328</v>
      </c>
      <c r="AP37" s="491" t="s">
        <v>2338</v>
      </c>
      <c r="AQ37" s="377"/>
      <c r="AR37" s="4" t="s">
        <v>2326</v>
      </c>
      <c r="AS37" s="4" t="s">
        <v>2449</v>
      </c>
      <c r="AT37" s="273" t="s">
        <v>2353</v>
      </c>
      <c r="AU37" s="496"/>
      <c r="AV37" s="496"/>
      <c r="AX37" s="10" t="s">
        <v>2328</v>
      </c>
      <c r="AY37" s="10" t="s">
        <v>2382</v>
      </c>
      <c r="AZ37" s="362" t="s">
        <v>2420</v>
      </c>
      <c r="BA37" s="521" t="s">
        <v>2479</v>
      </c>
      <c r="BB37" s="85" t="s">
        <v>2386</v>
      </c>
      <c r="BC37" s="363"/>
      <c r="BD37" s="500"/>
    </row>
    <row r="38" spans="1:56" ht="24.6" thickBot="1">
      <c r="A38" s="10" t="s">
        <v>2328</v>
      </c>
      <c r="B38" s="282" t="s">
        <v>2300</v>
      </c>
      <c r="C38" s="403">
        <v>0.104</v>
      </c>
      <c r="D38" s="404"/>
      <c r="E38" s="403">
        <v>8.5999999999999993E-2</v>
      </c>
      <c r="F38" s="403">
        <v>6.8999999999999992E-2</v>
      </c>
      <c r="G38" s="403">
        <v>0.11600000000000001</v>
      </c>
      <c r="H38" s="403">
        <v>0.12</v>
      </c>
      <c r="I38" s="404"/>
      <c r="J38" s="404"/>
      <c r="K38" s="403">
        <v>9.8000000000000004E-2</v>
      </c>
      <c r="L38" s="403">
        <v>8.1000000000000003E-2</v>
      </c>
      <c r="M38" s="414"/>
      <c r="N38" s="320" t="s">
        <v>274</v>
      </c>
      <c r="O38" s="89" t="s">
        <v>298</v>
      </c>
      <c r="P38" s="34"/>
      <c r="Q38" s="34"/>
      <c r="R38" s="34"/>
      <c r="S38" s="34"/>
      <c r="T38" s="4" t="s">
        <v>429</v>
      </c>
      <c r="V38" s="6" t="s">
        <v>2204</v>
      </c>
      <c r="W38" s="4" t="s">
        <v>430</v>
      </c>
      <c r="Y38" s="435" t="s">
        <v>408</v>
      </c>
      <c r="Z38" s="436">
        <v>0.15</v>
      </c>
      <c r="AA38" s="437" t="s">
        <v>36</v>
      </c>
      <c r="AB38" s="438" t="s">
        <v>431</v>
      </c>
      <c r="AC38" s="439" t="str">
        <f t="shared" si="0"/>
        <v>東京都三鷹市</v>
      </c>
      <c r="AD38" s="460">
        <v>11.05</v>
      </c>
      <c r="AE38" s="438">
        <v>10.83</v>
      </c>
      <c r="AF38" s="459">
        <v>10.68</v>
      </c>
      <c r="AG38" s="435" t="s">
        <v>432</v>
      </c>
      <c r="AH38" s="436">
        <v>0.45</v>
      </c>
      <c r="AJ38" s="1"/>
      <c r="AK38" s="1"/>
      <c r="AL38" s="1"/>
      <c r="AM38" s="1"/>
      <c r="AN38" s="1"/>
      <c r="AO38" s="493"/>
      <c r="AP38" s="494"/>
      <c r="AQ38" s="377"/>
      <c r="AR38" s="272" t="s">
        <v>2327</v>
      </c>
      <c r="AS38" s="272" t="s">
        <v>2450</v>
      </c>
      <c r="AT38" s="273" t="s">
        <v>2353</v>
      </c>
      <c r="AU38" s="496"/>
      <c r="AV38" s="497"/>
      <c r="AX38" s="92" t="s">
        <v>2329</v>
      </c>
      <c r="AY38" s="92" t="s">
        <v>2383</v>
      </c>
      <c r="AZ38" s="362" t="s">
        <v>2421</v>
      </c>
      <c r="BA38" s="84" t="s">
        <v>2480</v>
      </c>
      <c r="BB38" s="84" t="s">
        <v>470</v>
      </c>
      <c r="BC38" s="26"/>
      <c r="BD38" s="26"/>
    </row>
    <row r="39" spans="1:56" ht="24.6" thickBot="1">
      <c r="A39" s="92" t="s">
        <v>2329</v>
      </c>
      <c r="B39" s="282" t="s">
        <v>2330</v>
      </c>
      <c r="C39" s="399"/>
      <c r="D39" s="400"/>
      <c r="E39" s="400"/>
      <c r="F39" s="400"/>
      <c r="G39" s="408"/>
      <c r="H39" s="408"/>
      <c r="I39" s="408"/>
      <c r="J39" s="408"/>
      <c r="K39" s="408"/>
      <c r="L39" s="408"/>
      <c r="M39" s="361">
        <v>5.0999999999999997E-2</v>
      </c>
      <c r="N39" s="320" t="s">
        <v>2337</v>
      </c>
      <c r="O39" s="89" t="s">
        <v>281</v>
      </c>
      <c r="P39" s="34"/>
      <c r="Q39" s="34"/>
      <c r="R39" s="34"/>
      <c r="S39" s="34"/>
      <c r="T39" s="4" t="s">
        <v>433</v>
      </c>
      <c r="V39" s="6" t="s">
        <v>2204</v>
      </c>
      <c r="W39" s="4" t="s">
        <v>434</v>
      </c>
      <c r="Y39" s="435" t="s">
        <v>408</v>
      </c>
      <c r="Z39" s="436">
        <v>0.15</v>
      </c>
      <c r="AA39" s="437" t="s">
        <v>36</v>
      </c>
      <c r="AB39" s="438" t="s">
        <v>435</v>
      </c>
      <c r="AC39" s="439" t="str">
        <f t="shared" si="0"/>
        <v>東京都青梅市</v>
      </c>
      <c r="AD39" s="460">
        <v>11.05</v>
      </c>
      <c r="AE39" s="438">
        <v>10.83</v>
      </c>
      <c r="AF39" s="459">
        <v>10.68</v>
      </c>
      <c r="AG39" s="461" t="s">
        <v>436</v>
      </c>
      <c r="AH39" s="462">
        <v>0.45</v>
      </c>
      <c r="AJ39" s="1"/>
      <c r="AK39" s="1"/>
      <c r="AL39" s="1"/>
      <c r="AM39" s="1"/>
      <c r="AN39" s="1"/>
      <c r="AO39" s="492"/>
      <c r="AP39" s="377"/>
      <c r="AQ39" s="377"/>
      <c r="AR39" s="272" t="s">
        <v>2328</v>
      </c>
      <c r="AS39" s="272" t="s">
        <v>2451</v>
      </c>
      <c r="AT39" s="273" t="s">
        <v>2353</v>
      </c>
      <c r="AU39" s="496"/>
      <c r="AV39" s="496"/>
      <c r="AX39" s="80" t="s">
        <v>2331</v>
      </c>
      <c r="AY39" s="80" t="s">
        <v>2462</v>
      </c>
      <c r="AZ39" s="362" t="s">
        <v>2422</v>
      </c>
      <c r="BA39" s="84" t="s">
        <v>2481</v>
      </c>
      <c r="BB39" s="84" t="s">
        <v>470</v>
      </c>
      <c r="BC39" s="26"/>
      <c r="BD39" s="26"/>
    </row>
    <row r="40" spans="1:56" ht="24.6" thickBot="1">
      <c r="A40" s="80" t="s">
        <v>2331</v>
      </c>
      <c r="B40" s="281" t="s">
        <v>2332</v>
      </c>
      <c r="C40" s="399"/>
      <c r="D40" s="400"/>
      <c r="E40" s="400"/>
      <c r="F40" s="400"/>
      <c r="G40" s="408"/>
      <c r="H40" s="408"/>
      <c r="I40" s="408"/>
      <c r="J40" s="408"/>
      <c r="K40" s="408"/>
      <c r="L40" s="408"/>
      <c r="M40" s="361">
        <v>5.0999999999999997E-2</v>
      </c>
      <c r="N40" s="320" t="s">
        <v>2337</v>
      </c>
      <c r="O40" s="89" t="s">
        <v>281</v>
      </c>
      <c r="P40" s="34"/>
      <c r="Q40" s="34"/>
      <c r="R40" s="34"/>
      <c r="S40" s="34"/>
      <c r="T40" s="4" t="s">
        <v>437</v>
      </c>
      <c r="V40" s="6" t="s">
        <v>2204</v>
      </c>
      <c r="W40" s="4" t="s">
        <v>438</v>
      </c>
      <c r="Y40" s="435" t="s">
        <v>408</v>
      </c>
      <c r="Z40" s="436">
        <v>0.15</v>
      </c>
      <c r="AA40" s="437" t="s">
        <v>36</v>
      </c>
      <c r="AB40" s="438" t="s">
        <v>439</v>
      </c>
      <c r="AC40" s="439" t="str">
        <f t="shared" si="0"/>
        <v>東京都府中市</v>
      </c>
      <c r="AD40" s="460">
        <v>11.05</v>
      </c>
      <c r="AE40" s="438">
        <v>10.83</v>
      </c>
      <c r="AF40" s="439">
        <v>10.68</v>
      </c>
      <c r="AG40" s="461" t="s">
        <v>440</v>
      </c>
      <c r="AH40" s="462">
        <v>0.45</v>
      </c>
      <c r="AJ40" s="1"/>
      <c r="AK40" s="1"/>
      <c r="AL40" s="1"/>
      <c r="AM40" s="1"/>
      <c r="AN40" s="1"/>
      <c r="AO40" s="492"/>
      <c r="AP40" s="377"/>
      <c r="AQ40" s="377"/>
      <c r="AR40" s="492"/>
      <c r="AS40" s="492"/>
      <c r="AT40" s="496"/>
      <c r="AU40" s="496"/>
      <c r="AV40" s="496"/>
      <c r="AX40" s="365" t="s">
        <v>2333</v>
      </c>
      <c r="AY40" s="365" t="s">
        <v>2461</v>
      </c>
      <c r="AZ40" s="362" t="s">
        <v>2423</v>
      </c>
      <c r="BA40" s="84" t="s">
        <v>2482</v>
      </c>
      <c r="BB40" s="84" t="s">
        <v>470</v>
      </c>
      <c r="BC40" s="26"/>
      <c r="BD40" s="26"/>
    </row>
    <row r="41" spans="1:56" ht="24.6" thickBot="1">
      <c r="A41" s="365" t="s">
        <v>2333</v>
      </c>
      <c r="B41" s="366" t="s">
        <v>2334</v>
      </c>
      <c r="C41" s="399"/>
      <c r="D41" s="400"/>
      <c r="E41" s="400"/>
      <c r="F41" s="400"/>
      <c r="G41" s="409"/>
      <c r="H41" s="409"/>
      <c r="I41" s="409"/>
      <c r="J41" s="409"/>
      <c r="K41" s="409"/>
      <c r="L41" s="409"/>
      <c r="M41" s="361">
        <v>5.0999999999999997E-2</v>
      </c>
      <c r="N41" s="320" t="s">
        <v>2337</v>
      </c>
      <c r="O41" s="94" t="s">
        <v>298</v>
      </c>
      <c r="P41" s="34"/>
      <c r="Q41" s="34"/>
      <c r="R41" s="34"/>
      <c r="S41" s="34"/>
      <c r="T41" s="4" t="s">
        <v>441</v>
      </c>
      <c r="V41" s="6" t="s">
        <v>2204</v>
      </c>
      <c r="W41" s="4" t="s">
        <v>442</v>
      </c>
      <c r="Y41" s="435" t="s">
        <v>408</v>
      </c>
      <c r="Z41" s="436">
        <v>0.15</v>
      </c>
      <c r="AA41" s="437" t="s">
        <v>36</v>
      </c>
      <c r="AB41" s="438" t="s">
        <v>443</v>
      </c>
      <c r="AC41" s="439" t="str">
        <f t="shared" si="0"/>
        <v>東京都小金井市</v>
      </c>
      <c r="AD41" s="460">
        <v>11.05</v>
      </c>
      <c r="AE41" s="438">
        <v>10.83</v>
      </c>
      <c r="AF41" s="439">
        <v>10.68</v>
      </c>
      <c r="AG41" s="468" t="s">
        <v>444</v>
      </c>
      <c r="AH41" s="469">
        <v>0.7</v>
      </c>
      <c r="AJ41" s="1"/>
      <c r="AK41" s="1"/>
      <c r="AL41" s="1"/>
      <c r="AM41" s="1"/>
      <c r="AN41" s="1"/>
      <c r="AO41" s="87"/>
      <c r="AP41" s="377"/>
      <c r="AQ41" s="377"/>
      <c r="AR41" s="87"/>
      <c r="AS41" s="492"/>
      <c r="AT41" s="499"/>
      <c r="AU41" s="498"/>
      <c r="AV41" s="497"/>
      <c r="AX41" s="397" t="s">
        <v>2335</v>
      </c>
      <c r="AY41" s="397" t="s">
        <v>2384</v>
      </c>
      <c r="AZ41" s="27" t="s">
        <v>2424</v>
      </c>
      <c r="BA41" s="84" t="s">
        <v>2483</v>
      </c>
      <c r="BB41" s="84" t="s">
        <v>470</v>
      </c>
      <c r="BC41" s="26"/>
      <c r="BD41" s="26"/>
    </row>
    <row r="42" spans="1:56" ht="15" thickBot="1">
      <c r="A42" s="397" t="s">
        <v>2335</v>
      </c>
      <c r="B42" s="398" t="s">
        <v>2336</v>
      </c>
      <c r="C42" s="401"/>
      <c r="D42" s="402"/>
      <c r="E42" s="402"/>
      <c r="F42" s="402"/>
      <c r="G42" s="410"/>
      <c r="H42" s="410"/>
      <c r="I42" s="410"/>
      <c r="J42" s="410"/>
      <c r="K42" s="410"/>
      <c r="L42" s="410"/>
      <c r="M42" s="361">
        <v>5.0999999999999997E-2</v>
      </c>
      <c r="N42" s="320" t="s">
        <v>2337</v>
      </c>
      <c r="O42" s="90" t="s">
        <v>445</v>
      </c>
      <c r="P42" s="34"/>
      <c r="Q42" s="34"/>
      <c r="R42" s="34"/>
      <c r="S42" s="34"/>
      <c r="T42" s="4" t="s">
        <v>446</v>
      </c>
      <c r="V42" s="6" t="s">
        <v>2204</v>
      </c>
      <c r="W42" s="4" t="s">
        <v>447</v>
      </c>
      <c r="Y42" s="435" t="s">
        <v>408</v>
      </c>
      <c r="Z42" s="436">
        <v>0.15</v>
      </c>
      <c r="AA42" s="437" t="s">
        <v>36</v>
      </c>
      <c r="AB42" s="438" t="s">
        <v>448</v>
      </c>
      <c r="AC42" s="439" t="str">
        <f t="shared" si="0"/>
        <v>東京都小平市</v>
      </c>
      <c r="AD42" s="460">
        <v>11.05</v>
      </c>
      <c r="AE42" s="438">
        <v>10.83</v>
      </c>
      <c r="AF42" s="439">
        <v>10.68</v>
      </c>
      <c r="AG42" s="470" t="s">
        <v>449</v>
      </c>
      <c r="AH42" s="471">
        <v>0.7</v>
      </c>
      <c r="AJ42" s="1"/>
      <c r="AK42" s="1"/>
      <c r="AL42" s="1"/>
      <c r="AM42" s="1"/>
      <c r="AN42" s="1"/>
      <c r="AO42" s="87"/>
      <c r="AP42" s="377"/>
      <c r="AQ42" s="377"/>
      <c r="AR42" s="87"/>
      <c r="AS42" s="492"/>
      <c r="AT42" s="499"/>
      <c r="AU42" s="498"/>
      <c r="AV42" s="497"/>
      <c r="AX42" s="2"/>
      <c r="AY42" s="492"/>
      <c r="AZ42" s="280"/>
      <c r="BA42" s="280"/>
      <c r="BB42" s="280"/>
      <c r="BC42" s="280"/>
      <c r="BD42" s="500"/>
    </row>
    <row r="43" spans="1:56" ht="15" thickBot="1">
      <c r="A43" s="390"/>
      <c r="B43" s="391"/>
      <c r="C43" s="394"/>
      <c r="D43" s="394"/>
      <c r="E43" s="394"/>
      <c r="F43" s="394"/>
      <c r="G43" s="392"/>
      <c r="H43" s="392"/>
      <c r="I43" s="392"/>
      <c r="J43" s="392"/>
      <c r="K43" s="392"/>
      <c r="L43" s="392"/>
      <c r="M43" s="392"/>
      <c r="N43" s="389"/>
      <c r="O43" s="389"/>
      <c r="P43" s="34"/>
      <c r="Q43" s="34"/>
      <c r="R43" s="34"/>
      <c r="S43" s="34"/>
      <c r="T43" s="4" t="s">
        <v>450</v>
      </c>
      <c r="V43" s="6" t="s">
        <v>2204</v>
      </c>
      <c r="W43" s="4" t="s">
        <v>451</v>
      </c>
      <c r="Y43" s="435" t="s">
        <v>408</v>
      </c>
      <c r="Z43" s="436">
        <v>0.15</v>
      </c>
      <c r="AA43" s="437" t="s">
        <v>36</v>
      </c>
      <c r="AB43" s="438" t="s">
        <v>452</v>
      </c>
      <c r="AC43" s="439" t="str">
        <f t="shared" si="0"/>
        <v>東京都日野市</v>
      </c>
      <c r="AD43" s="460">
        <v>11.05</v>
      </c>
      <c r="AE43" s="438">
        <v>10.83</v>
      </c>
      <c r="AF43" s="439">
        <v>10.68</v>
      </c>
      <c r="AG43" s="470" t="s">
        <v>453</v>
      </c>
      <c r="AH43" s="471">
        <v>0.7</v>
      </c>
      <c r="AJ43" s="1"/>
      <c r="AK43" s="1"/>
      <c r="AL43" s="1"/>
      <c r="AM43" s="1"/>
      <c r="AN43" s="1"/>
      <c r="AO43" s="87"/>
      <c r="AP43" s="377"/>
      <c r="AQ43" s="377"/>
      <c r="AR43" s="87"/>
      <c r="AS43" s="492"/>
      <c r="AT43" s="499"/>
      <c r="AU43" s="498"/>
      <c r="AV43" s="497"/>
      <c r="AX43" s="2"/>
      <c r="AY43" s="492"/>
      <c r="AZ43" s="280"/>
      <c r="BA43" s="280"/>
      <c r="BB43" s="280"/>
      <c r="BC43" s="280"/>
      <c r="BD43" s="500"/>
    </row>
    <row r="44" spans="1:56" ht="15" thickBot="1">
      <c r="A44" s="2"/>
      <c r="B44" s="393"/>
      <c r="C44" s="394"/>
      <c r="D44" s="394"/>
      <c r="E44" s="394"/>
      <c r="F44" s="394"/>
      <c r="G44" s="395"/>
      <c r="H44" s="395"/>
      <c r="I44" s="395"/>
      <c r="J44" s="395"/>
      <c r="K44" s="395"/>
      <c r="L44" s="395"/>
      <c r="M44" s="395"/>
      <c r="N44" s="280"/>
      <c r="O44" s="280"/>
      <c r="P44" s="34"/>
      <c r="Q44" s="34"/>
      <c r="R44" s="34"/>
      <c r="S44" s="34"/>
      <c r="T44" s="4" t="s">
        <v>454</v>
      </c>
      <c r="V44" s="6" t="s">
        <v>2204</v>
      </c>
      <c r="W44" s="4" t="s">
        <v>455</v>
      </c>
      <c r="Y44" s="435" t="s">
        <v>408</v>
      </c>
      <c r="Z44" s="436">
        <v>0.15</v>
      </c>
      <c r="AA44" s="437" t="s">
        <v>36</v>
      </c>
      <c r="AB44" s="438" t="s">
        <v>456</v>
      </c>
      <c r="AC44" s="439" t="str">
        <f t="shared" si="0"/>
        <v>東京都東村山市</v>
      </c>
      <c r="AD44" s="460">
        <v>11.05</v>
      </c>
      <c r="AE44" s="438">
        <v>10.83</v>
      </c>
      <c r="AF44" s="439">
        <v>10.68</v>
      </c>
      <c r="AG44" s="470" t="s">
        <v>457</v>
      </c>
      <c r="AH44" s="436">
        <v>0.45</v>
      </c>
      <c r="AJ44" s="1"/>
      <c r="AK44" s="1"/>
      <c r="AL44" s="1"/>
      <c r="AM44" s="1"/>
      <c r="AN44" s="1"/>
      <c r="AO44" s="87"/>
      <c r="AP44" s="377"/>
      <c r="AQ44" s="377"/>
      <c r="AR44" s="87"/>
      <c r="AS44" s="492"/>
      <c r="AT44" s="498"/>
      <c r="AU44" s="498"/>
      <c r="AV44" s="498"/>
      <c r="AX44" s="2"/>
      <c r="AY44" s="492"/>
      <c r="AZ44" s="280"/>
      <c r="BA44" s="280"/>
      <c r="BB44" s="280"/>
      <c r="BC44" s="280"/>
      <c r="BD44" s="500"/>
    </row>
    <row r="45" spans="1:56" ht="24.6" thickBot="1">
      <c r="A45" s="2"/>
      <c r="B45" s="301" t="s">
        <v>177</v>
      </c>
      <c r="C45" s="302" t="s">
        <v>265</v>
      </c>
      <c r="D45" s="302" t="s">
        <v>191</v>
      </c>
      <c r="E45" s="514" t="s">
        <v>266</v>
      </c>
      <c r="F45" s="303"/>
      <c r="G45" s="395"/>
      <c r="H45" s="395"/>
      <c r="I45" s="395"/>
      <c r="J45" s="395"/>
      <c r="K45" s="395"/>
      <c r="L45" s="395"/>
      <c r="M45" s="395"/>
      <c r="N45" s="280"/>
      <c r="O45" s="280"/>
      <c r="P45" s="34"/>
      <c r="Q45" s="34"/>
      <c r="R45" s="34"/>
      <c r="S45" s="34"/>
      <c r="T45" s="4" t="s">
        <v>458</v>
      </c>
      <c r="V45" s="6" t="s">
        <v>2204</v>
      </c>
      <c r="W45" s="4" t="s">
        <v>459</v>
      </c>
      <c r="Y45" s="435" t="s">
        <v>408</v>
      </c>
      <c r="Z45" s="436">
        <v>0.15</v>
      </c>
      <c r="AA45" s="437" t="s">
        <v>36</v>
      </c>
      <c r="AB45" s="438" t="s">
        <v>460</v>
      </c>
      <c r="AC45" s="439" t="str">
        <f t="shared" si="0"/>
        <v>東京都国分寺市</v>
      </c>
      <c r="AD45" s="460">
        <v>11.05</v>
      </c>
      <c r="AE45" s="438">
        <v>10.83</v>
      </c>
      <c r="AF45" s="439">
        <v>10.68</v>
      </c>
      <c r="AG45" s="470" t="s">
        <v>461</v>
      </c>
      <c r="AH45" s="436">
        <v>0.45</v>
      </c>
      <c r="AJ45" s="1"/>
      <c r="AK45" s="1"/>
      <c r="AL45" s="1"/>
      <c r="AM45" s="1"/>
      <c r="AN45" s="1"/>
      <c r="AO45" s="87"/>
      <c r="AP45" s="377"/>
      <c r="AQ45" s="377"/>
      <c r="AR45" s="87"/>
      <c r="AS45" s="492"/>
      <c r="AT45" s="498"/>
      <c r="AU45" s="498"/>
      <c r="AV45" s="498"/>
      <c r="AX45" s="2"/>
      <c r="AY45" s="492"/>
      <c r="AZ45" s="280"/>
      <c r="BA45" s="280"/>
      <c r="BB45" s="280"/>
      <c r="BC45" s="280"/>
      <c r="BD45" s="500"/>
    </row>
    <row r="46" spans="1:56" ht="15" thickBot="1">
      <c r="A46" s="2"/>
      <c r="B46" s="393"/>
      <c r="C46" s="394"/>
      <c r="D46" s="394"/>
      <c r="E46" s="394"/>
      <c r="F46" s="394"/>
      <c r="G46" s="395"/>
      <c r="H46" s="395"/>
      <c r="I46" s="395"/>
      <c r="J46" s="395"/>
      <c r="K46" s="395"/>
      <c r="L46" s="395"/>
      <c r="M46" s="395"/>
      <c r="N46" s="280"/>
      <c r="O46" s="280"/>
      <c r="P46" s="34"/>
      <c r="Q46" s="34"/>
      <c r="R46" s="34"/>
      <c r="S46" s="34"/>
      <c r="T46" s="4" t="s">
        <v>462</v>
      </c>
      <c r="V46" s="6" t="s">
        <v>2204</v>
      </c>
      <c r="W46" s="4" t="s">
        <v>463</v>
      </c>
      <c r="Y46" s="435" t="s">
        <v>408</v>
      </c>
      <c r="Z46" s="436">
        <v>0.15</v>
      </c>
      <c r="AA46" s="437" t="s">
        <v>36</v>
      </c>
      <c r="AB46" s="438" t="s">
        <v>464</v>
      </c>
      <c r="AC46" s="439" t="str">
        <f t="shared" si="0"/>
        <v>東京都国立市</v>
      </c>
      <c r="AD46" s="460">
        <v>11.05</v>
      </c>
      <c r="AE46" s="438">
        <v>10.83</v>
      </c>
      <c r="AF46" s="439">
        <v>10.68</v>
      </c>
      <c r="AG46" s="470" t="s">
        <v>465</v>
      </c>
      <c r="AH46" s="436">
        <v>0.45</v>
      </c>
      <c r="AJ46" s="1"/>
      <c r="AK46" s="1"/>
      <c r="AL46" s="1"/>
      <c r="AM46" s="1"/>
      <c r="AN46" s="1"/>
      <c r="AO46" s="87"/>
      <c r="AP46" s="377"/>
      <c r="AQ46" s="377"/>
      <c r="AR46" s="87"/>
      <c r="AS46" s="492"/>
      <c r="AT46" s="498"/>
      <c r="AU46" s="498"/>
      <c r="AV46" s="498"/>
      <c r="AX46" s="2"/>
      <c r="AY46" s="492"/>
      <c r="AZ46" s="280"/>
      <c r="BA46" s="280"/>
      <c r="BB46" s="280"/>
      <c r="BC46" s="280"/>
      <c r="BD46" s="500"/>
    </row>
    <row r="47" spans="1:56" ht="15" thickBot="1">
      <c r="A47" s="2"/>
      <c r="B47" s="393"/>
      <c r="C47" s="394"/>
      <c r="D47" s="394"/>
      <c r="E47" s="394"/>
      <c r="F47" s="394"/>
      <c r="G47" s="395"/>
      <c r="H47" s="395"/>
      <c r="I47" s="395"/>
      <c r="J47" s="395"/>
      <c r="K47" s="395"/>
      <c r="L47" s="395"/>
      <c r="M47" s="395"/>
      <c r="N47" s="280"/>
      <c r="O47" s="280"/>
      <c r="P47" s="34"/>
      <c r="Q47" s="34"/>
      <c r="R47" s="34"/>
      <c r="S47" s="34"/>
      <c r="T47" s="4" t="s">
        <v>466</v>
      </c>
      <c r="V47" s="6" t="s">
        <v>2204</v>
      </c>
      <c r="W47" s="4" t="s">
        <v>467</v>
      </c>
      <c r="Y47" s="435" t="s">
        <v>408</v>
      </c>
      <c r="Z47" s="436">
        <v>0.15</v>
      </c>
      <c r="AA47" s="437" t="s">
        <v>36</v>
      </c>
      <c r="AB47" s="438" t="s">
        <v>468</v>
      </c>
      <c r="AC47" s="439" t="str">
        <f t="shared" si="0"/>
        <v>東京都清瀬市</v>
      </c>
      <c r="AD47" s="460">
        <v>11.05</v>
      </c>
      <c r="AE47" s="438">
        <v>10.83</v>
      </c>
      <c r="AF47" s="439">
        <v>10.68</v>
      </c>
      <c r="AG47" s="461" t="s">
        <v>469</v>
      </c>
      <c r="AH47" s="462">
        <v>0.7</v>
      </c>
      <c r="AJ47" s="1"/>
      <c r="AK47" s="1"/>
      <c r="AL47" s="1"/>
      <c r="AM47" s="1"/>
      <c r="AN47" s="1"/>
      <c r="AO47" s="2"/>
      <c r="AP47" s="2"/>
      <c r="AQ47" s="2"/>
      <c r="AR47" s="87"/>
      <c r="AS47" s="492"/>
      <c r="AT47" s="498"/>
      <c r="AU47" s="498"/>
      <c r="AV47" s="498"/>
      <c r="AX47" s="87"/>
      <c r="AY47" s="492"/>
      <c r="AZ47" s="280"/>
      <c r="BA47" s="280"/>
      <c r="BB47" s="280"/>
      <c r="BC47" s="280"/>
      <c r="BD47" s="500"/>
    </row>
    <row r="48" spans="1:56" ht="24" customHeight="1" thickBot="1">
      <c r="A48" s="2"/>
      <c r="B48" s="393"/>
      <c r="C48" s="394"/>
      <c r="D48" s="394"/>
      <c r="E48" s="394"/>
      <c r="F48" s="394"/>
      <c r="G48" s="395"/>
      <c r="H48" s="395"/>
      <c r="I48" s="395"/>
      <c r="J48" s="395"/>
      <c r="K48" s="395"/>
      <c r="L48" s="395"/>
      <c r="M48" s="395"/>
      <c r="N48" s="280"/>
      <c r="O48" s="280"/>
      <c r="P48" s="34"/>
      <c r="Q48" s="34"/>
      <c r="R48" s="34"/>
      <c r="S48" s="34"/>
      <c r="T48" s="4" t="s">
        <v>471</v>
      </c>
      <c r="V48" s="6" t="s">
        <v>2204</v>
      </c>
      <c r="W48" s="4" t="s">
        <v>472</v>
      </c>
      <c r="Y48" s="435" t="s">
        <v>408</v>
      </c>
      <c r="Z48" s="436">
        <v>0.15</v>
      </c>
      <c r="AA48" s="437" t="s">
        <v>36</v>
      </c>
      <c r="AB48" s="438" t="s">
        <v>473</v>
      </c>
      <c r="AC48" s="439" t="str">
        <f t="shared" si="0"/>
        <v>東京都東久留米市</v>
      </c>
      <c r="AD48" s="460">
        <v>11.05</v>
      </c>
      <c r="AE48" s="438">
        <v>10.83</v>
      </c>
      <c r="AF48" s="439">
        <v>10.68</v>
      </c>
      <c r="AG48" s="472" t="s">
        <v>37</v>
      </c>
      <c r="AH48" s="428">
        <v>0.7</v>
      </c>
      <c r="AJ48" s="1"/>
      <c r="AK48" s="1"/>
      <c r="AL48" s="1"/>
      <c r="AM48" s="1"/>
      <c r="AN48" s="1"/>
      <c r="AO48" s="2"/>
      <c r="AP48" s="2"/>
      <c r="AQ48" s="2"/>
      <c r="AR48" s="87"/>
      <c r="AS48" s="492"/>
      <c r="AT48" s="498"/>
      <c r="AU48" s="498"/>
      <c r="AV48" s="498"/>
      <c r="AX48" s="87"/>
      <c r="AY48" s="492"/>
      <c r="AZ48" s="280"/>
      <c r="BA48" s="280"/>
      <c r="BB48" s="280"/>
      <c r="BC48" s="280"/>
      <c r="BD48" s="500"/>
    </row>
    <row r="49" spans="1:56" ht="15" customHeight="1" thickBot="1">
      <c r="A49" s="2"/>
      <c r="B49" s="393"/>
      <c r="C49" s="394"/>
      <c r="D49" s="394"/>
      <c r="E49" s="394"/>
      <c r="F49" s="394"/>
      <c r="G49" s="395"/>
      <c r="H49" s="395"/>
      <c r="I49" s="395"/>
      <c r="J49" s="395"/>
      <c r="K49" s="395"/>
      <c r="L49" s="395"/>
      <c r="M49" s="395"/>
      <c r="N49" s="280"/>
      <c r="O49" s="280"/>
      <c r="P49" s="34"/>
      <c r="Q49" s="34"/>
      <c r="R49" s="34"/>
      <c r="S49" s="34"/>
      <c r="T49" s="5" t="s">
        <v>474</v>
      </c>
      <c r="V49" s="6" t="s">
        <v>2204</v>
      </c>
      <c r="W49" s="4" t="s">
        <v>475</v>
      </c>
      <c r="Y49" s="435" t="s">
        <v>408</v>
      </c>
      <c r="Z49" s="436">
        <v>0.15</v>
      </c>
      <c r="AA49" s="437" t="s">
        <v>36</v>
      </c>
      <c r="AB49" s="438" t="s">
        <v>476</v>
      </c>
      <c r="AC49" s="439" t="str">
        <f t="shared" si="0"/>
        <v>東京都稲城市</v>
      </c>
      <c r="AD49" s="460">
        <v>11.05</v>
      </c>
      <c r="AE49" s="438">
        <v>10.83</v>
      </c>
      <c r="AF49" s="439">
        <v>10.68</v>
      </c>
      <c r="AG49" s="473" t="s">
        <v>477</v>
      </c>
      <c r="AH49" s="436">
        <v>0.7</v>
      </c>
      <c r="AJ49" s="1"/>
      <c r="AK49" s="1"/>
      <c r="AL49" s="1"/>
      <c r="AM49" s="1"/>
      <c r="AN49" s="1"/>
      <c r="AO49" s="2"/>
      <c r="AP49" s="2"/>
      <c r="AQ49" s="2"/>
      <c r="AR49" s="87"/>
      <c r="AS49" s="492"/>
      <c r="AT49" s="498"/>
      <c r="AU49" s="498"/>
      <c r="AV49" s="498"/>
      <c r="AX49" s="87"/>
      <c r="AY49" s="492"/>
      <c r="AZ49" s="280"/>
      <c r="BA49" s="280"/>
      <c r="BB49" s="280"/>
      <c r="BC49" s="280"/>
      <c r="BD49" s="500"/>
    </row>
    <row r="50" spans="1:56" ht="15" thickBot="1">
      <c r="A50" s="2"/>
      <c r="B50" s="393"/>
      <c r="C50" s="394"/>
      <c r="D50" s="394"/>
      <c r="E50" s="394"/>
      <c r="F50" s="394"/>
      <c r="G50" s="395"/>
      <c r="H50" s="395"/>
      <c r="I50" s="395"/>
      <c r="J50" s="395"/>
      <c r="K50" s="395"/>
      <c r="L50" s="395"/>
      <c r="M50" s="395"/>
      <c r="N50" s="280"/>
      <c r="O50" s="280"/>
      <c r="P50" s="34"/>
      <c r="Q50" s="34"/>
      <c r="R50" s="34"/>
      <c r="S50" s="34"/>
      <c r="T50" s="2"/>
      <c r="V50" s="6" t="s">
        <v>2204</v>
      </c>
      <c r="W50" s="4" t="s">
        <v>478</v>
      </c>
      <c r="Y50" s="435" t="s">
        <v>408</v>
      </c>
      <c r="Z50" s="436">
        <v>0.15</v>
      </c>
      <c r="AA50" s="437" t="s">
        <v>36</v>
      </c>
      <c r="AB50" s="438" t="s">
        <v>479</v>
      </c>
      <c r="AC50" s="439" t="str">
        <f t="shared" si="0"/>
        <v>東京都西東京市</v>
      </c>
      <c r="AD50" s="460">
        <v>11.05</v>
      </c>
      <c r="AE50" s="438">
        <v>10.83</v>
      </c>
      <c r="AF50" s="439">
        <v>10.68</v>
      </c>
      <c r="AG50" s="474" t="s">
        <v>480</v>
      </c>
      <c r="AH50" s="436">
        <v>0.55000000000000004</v>
      </c>
      <c r="AJ50" s="1"/>
      <c r="AK50" s="1"/>
      <c r="AL50" s="1"/>
      <c r="AM50" s="1"/>
      <c r="AN50" s="1"/>
      <c r="AO50" s="2"/>
      <c r="AP50" s="2"/>
      <c r="AQ50" s="2"/>
      <c r="AR50" s="87"/>
      <c r="AS50" s="87"/>
      <c r="AT50" s="2"/>
      <c r="AU50" s="2"/>
      <c r="AV50" s="2"/>
      <c r="AX50" s="87"/>
      <c r="AY50" s="492"/>
      <c r="AZ50" s="280"/>
      <c r="BA50" s="280"/>
      <c r="BB50" s="280"/>
      <c r="BC50" s="280"/>
      <c r="BD50" s="500"/>
    </row>
    <row r="51" spans="1:56" ht="15" thickBot="1">
      <c r="A51" s="2"/>
      <c r="B51" s="393"/>
      <c r="C51" s="280"/>
      <c r="D51" s="280"/>
      <c r="E51" s="280"/>
      <c r="F51" s="280"/>
      <c r="G51" s="280"/>
      <c r="H51" s="280"/>
      <c r="I51" s="280"/>
      <c r="J51" s="280"/>
      <c r="K51" s="280"/>
      <c r="L51" s="280"/>
      <c r="M51" s="280"/>
      <c r="N51" s="280"/>
      <c r="O51" s="280"/>
      <c r="P51" s="34"/>
      <c r="Q51" s="34"/>
      <c r="R51" s="34"/>
      <c r="S51" s="34"/>
      <c r="T51" s="2"/>
      <c r="V51" s="6" t="s">
        <v>2204</v>
      </c>
      <c r="W51" s="4" t="s">
        <v>481</v>
      </c>
      <c r="Y51" s="435" t="s">
        <v>408</v>
      </c>
      <c r="Z51" s="436">
        <v>0.15</v>
      </c>
      <c r="AA51" s="437" t="s">
        <v>394</v>
      </c>
      <c r="AB51" s="438" t="s">
        <v>482</v>
      </c>
      <c r="AC51" s="439" t="str">
        <f t="shared" si="0"/>
        <v>神奈川県鎌倉市</v>
      </c>
      <c r="AD51" s="460">
        <v>11.05</v>
      </c>
      <c r="AE51" s="438">
        <v>10.83</v>
      </c>
      <c r="AF51" s="439">
        <v>10.68</v>
      </c>
      <c r="AG51" s="474" t="s">
        <v>483</v>
      </c>
      <c r="AH51" s="436">
        <v>0.55000000000000004</v>
      </c>
      <c r="AJ51" s="1"/>
      <c r="AK51" s="1"/>
      <c r="AL51" s="1"/>
      <c r="AM51" s="1"/>
      <c r="AN51" s="1"/>
      <c r="AO51" s="2"/>
      <c r="AP51" s="2"/>
      <c r="AQ51" s="2"/>
      <c r="AR51" s="1012"/>
      <c r="AS51" s="1012"/>
      <c r="AT51" s="1012"/>
      <c r="AU51" s="1012"/>
      <c r="AV51" s="2"/>
      <c r="AX51" s="87"/>
      <c r="AY51" s="492"/>
      <c r="AZ51" s="280"/>
      <c r="BA51" s="280"/>
      <c r="BB51" s="280"/>
      <c r="BC51" s="280"/>
      <c r="BD51" s="500"/>
    </row>
    <row r="52" spans="1:56" ht="15" thickBot="1">
      <c r="A52" s="396"/>
      <c r="B52" s="87"/>
      <c r="C52" s="280"/>
      <c r="D52" s="280"/>
      <c r="E52" s="280"/>
      <c r="F52" s="280"/>
      <c r="G52" s="280"/>
      <c r="H52" s="280"/>
      <c r="I52" s="280"/>
      <c r="J52" s="280"/>
      <c r="K52" s="280"/>
      <c r="L52" s="280"/>
      <c r="M52" s="280"/>
      <c r="N52" s="280"/>
      <c r="O52" s="280"/>
      <c r="P52" s="34"/>
      <c r="Q52" s="34"/>
      <c r="R52" s="34"/>
      <c r="S52" s="34"/>
      <c r="T52" s="2"/>
      <c r="V52" s="6" t="s">
        <v>2204</v>
      </c>
      <c r="W52" s="4" t="s">
        <v>484</v>
      </c>
      <c r="Y52" s="435" t="s">
        <v>408</v>
      </c>
      <c r="Z52" s="436">
        <v>0.15</v>
      </c>
      <c r="AA52" s="437" t="s">
        <v>394</v>
      </c>
      <c r="AB52" s="438" t="s">
        <v>485</v>
      </c>
      <c r="AC52" s="439" t="str">
        <f t="shared" si="0"/>
        <v>神奈川県厚木市</v>
      </c>
      <c r="AD52" s="460">
        <v>11.05</v>
      </c>
      <c r="AE52" s="438">
        <v>10.83</v>
      </c>
      <c r="AF52" s="439">
        <v>10.68</v>
      </c>
      <c r="AG52" s="474" t="s">
        <v>486</v>
      </c>
      <c r="AH52" s="436">
        <v>0.7</v>
      </c>
      <c r="AJ52" s="1"/>
      <c r="AK52" s="1"/>
      <c r="AL52" s="1"/>
      <c r="AM52" s="1"/>
      <c r="AN52" s="1"/>
      <c r="AO52" s="2"/>
      <c r="AP52" s="2"/>
      <c r="AQ52" s="2"/>
      <c r="AR52" s="1013"/>
      <c r="AS52" s="1013"/>
      <c r="AT52" s="1013"/>
      <c r="AU52" s="1013"/>
      <c r="AV52" s="2"/>
      <c r="AX52" s="87"/>
      <c r="AY52" s="492"/>
      <c r="AZ52" s="280"/>
      <c r="BA52" s="280"/>
      <c r="BB52" s="280"/>
      <c r="BC52" s="280"/>
      <c r="BD52" s="500"/>
    </row>
    <row r="53" spans="1:56" ht="15" thickBot="1">
      <c r="A53" s="396"/>
      <c r="B53" s="87"/>
      <c r="C53" s="280"/>
      <c r="D53" s="280"/>
      <c r="E53" s="280"/>
      <c r="F53" s="280"/>
      <c r="G53" s="280"/>
      <c r="H53" s="280"/>
      <c r="I53" s="280"/>
      <c r="J53" s="280"/>
      <c r="K53" s="280"/>
      <c r="L53" s="280"/>
      <c r="M53" s="280"/>
      <c r="N53" s="280"/>
      <c r="O53" s="280"/>
      <c r="P53" s="34"/>
      <c r="Q53" s="34"/>
      <c r="R53" s="34"/>
      <c r="S53" s="34"/>
      <c r="T53" s="2"/>
      <c r="V53" s="6" t="s">
        <v>2204</v>
      </c>
      <c r="W53" s="4" t="s">
        <v>487</v>
      </c>
      <c r="Y53" s="435" t="s">
        <v>408</v>
      </c>
      <c r="Z53" s="436">
        <v>0.15</v>
      </c>
      <c r="AA53" s="437" t="s">
        <v>488</v>
      </c>
      <c r="AB53" s="438" t="s">
        <v>489</v>
      </c>
      <c r="AC53" s="439" t="str">
        <f t="shared" si="0"/>
        <v>愛知県名古屋市</v>
      </c>
      <c r="AD53" s="460">
        <v>11.05</v>
      </c>
      <c r="AE53" s="438">
        <v>10.83</v>
      </c>
      <c r="AF53" s="459">
        <v>10.68</v>
      </c>
      <c r="AG53" s="475" t="s">
        <v>490</v>
      </c>
      <c r="AH53" s="445">
        <v>0.7</v>
      </c>
      <c r="AJ53" s="1"/>
      <c r="AK53" s="1"/>
      <c r="AL53" s="1"/>
      <c r="AM53" s="1"/>
      <c r="AN53" s="1"/>
      <c r="AR53" s="1013"/>
      <c r="AS53" s="1013"/>
      <c r="AT53" s="1013"/>
      <c r="AU53" s="1013"/>
      <c r="AV53" s="2"/>
      <c r="AX53" s="2"/>
      <c r="AY53" s="87"/>
      <c r="AZ53" s="280"/>
      <c r="BA53" s="280"/>
      <c r="BB53" s="280"/>
      <c r="BC53" s="2"/>
    </row>
    <row r="54" spans="1:56" ht="15" thickBot="1">
      <c r="A54" s="87"/>
      <c r="B54" s="87"/>
      <c r="C54" s="280"/>
      <c r="D54" s="280"/>
      <c r="E54" s="280"/>
      <c r="F54" s="280"/>
      <c r="G54" s="280"/>
      <c r="H54" s="280"/>
      <c r="I54" s="280"/>
      <c r="J54" s="280"/>
      <c r="K54" s="280"/>
      <c r="L54" s="280"/>
      <c r="M54" s="280"/>
      <c r="N54" s="280"/>
      <c r="O54" s="280"/>
      <c r="P54" s="34"/>
      <c r="Q54" s="34"/>
      <c r="R54" s="34"/>
      <c r="S54" s="34"/>
      <c r="T54" s="2"/>
      <c r="V54" s="6" t="s">
        <v>2204</v>
      </c>
      <c r="W54" s="4" t="s">
        <v>491</v>
      </c>
      <c r="Y54" s="435" t="s">
        <v>408</v>
      </c>
      <c r="Z54" s="436">
        <v>0.15</v>
      </c>
      <c r="AA54" s="437" t="s">
        <v>488</v>
      </c>
      <c r="AB54" s="438" t="s">
        <v>492</v>
      </c>
      <c r="AC54" s="439" t="str">
        <f t="shared" si="0"/>
        <v>愛知県刈谷市</v>
      </c>
      <c r="AD54" s="460">
        <v>11.05</v>
      </c>
      <c r="AE54" s="438">
        <v>10.83</v>
      </c>
      <c r="AF54" s="459">
        <v>10.68</v>
      </c>
      <c r="AG54" s="415"/>
      <c r="AH54" s="415"/>
      <c r="AJ54" s="1"/>
      <c r="AK54" s="1"/>
      <c r="AL54" s="1"/>
      <c r="AM54" s="1"/>
      <c r="AN54" s="1"/>
      <c r="AX54" s="396"/>
      <c r="AY54" s="87"/>
      <c r="AZ54" s="280"/>
      <c r="BA54" s="280"/>
      <c r="BB54" s="280"/>
      <c r="BC54" s="2"/>
    </row>
    <row r="55" spans="1:56" ht="15" thickBot="1">
      <c r="A55" s="87"/>
      <c r="B55" s="87"/>
      <c r="C55" s="280"/>
      <c r="D55" s="280"/>
      <c r="E55" s="280"/>
      <c r="F55" s="280"/>
      <c r="G55" s="280"/>
      <c r="H55" s="280"/>
      <c r="I55" s="280"/>
      <c r="J55" s="280"/>
      <c r="K55" s="280"/>
      <c r="L55" s="280"/>
      <c r="M55" s="280"/>
      <c r="N55" s="280"/>
      <c r="O55" s="280"/>
      <c r="P55" s="34"/>
      <c r="Q55" s="34"/>
      <c r="R55" s="34"/>
      <c r="S55" s="34"/>
      <c r="T55"/>
      <c r="U55"/>
      <c r="V55" s="6" t="s">
        <v>2204</v>
      </c>
      <c r="W55" s="4" t="s">
        <v>493</v>
      </c>
      <c r="X55" s="2"/>
      <c r="Y55" s="435" t="s">
        <v>408</v>
      </c>
      <c r="Z55" s="436">
        <v>0.15</v>
      </c>
      <c r="AA55" s="437" t="s">
        <v>488</v>
      </c>
      <c r="AB55" s="438" t="s">
        <v>494</v>
      </c>
      <c r="AC55" s="439" t="str">
        <f t="shared" si="0"/>
        <v>愛知県豊田市</v>
      </c>
      <c r="AD55" s="460">
        <v>11.05</v>
      </c>
      <c r="AE55" s="438">
        <v>10.83</v>
      </c>
      <c r="AF55" s="459">
        <v>10.68</v>
      </c>
      <c r="AG55" s="417"/>
      <c r="AH55" s="417"/>
      <c r="AJ55" s="1"/>
      <c r="AK55" s="1"/>
      <c r="AL55" s="1"/>
      <c r="AM55" s="1"/>
      <c r="AN55" s="1"/>
      <c r="AO55"/>
      <c r="AP55"/>
      <c r="AW55"/>
      <c r="AX55" s="396"/>
      <c r="AY55" s="87"/>
      <c r="AZ55" s="280"/>
      <c r="BA55" s="280"/>
      <c r="BB55" s="280"/>
      <c r="BC55" s="2"/>
    </row>
    <row r="56" spans="1:56" ht="15" thickBot="1">
      <c r="A56" s="87"/>
      <c r="B56" s="87"/>
      <c r="C56" s="280"/>
      <c r="D56" s="280"/>
      <c r="E56" s="280"/>
      <c r="F56" s="280"/>
      <c r="G56" s="280"/>
      <c r="H56" s="280"/>
      <c r="I56" s="280"/>
      <c r="J56" s="280"/>
      <c r="K56" s="280"/>
      <c r="L56" s="280"/>
      <c r="M56" s="280"/>
      <c r="N56" s="280"/>
      <c r="O56" s="280"/>
      <c r="P56" s="34"/>
      <c r="Q56" s="34"/>
      <c r="R56" s="34"/>
      <c r="S56" s="34"/>
      <c r="T56"/>
      <c r="U56"/>
      <c r="V56" s="6" t="s">
        <v>2204</v>
      </c>
      <c r="W56" s="4" t="s">
        <v>495</v>
      </c>
      <c r="X56" s="2"/>
      <c r="Y56" s="435" t="s">
        <v>408</v>
      </c>
      <c r="Z56" s="436">
        <v>0.15</v>
      </c>
      <c r="AA56" s="437" t="s">
        <v>403</v>
      </c>
      <c r="AB56" s="438" t="s">
        <v>496</v>
      </c>
      <c r="AC56" s="439" t="str">
        <f t="shared" si="0"/>
        <v>大阪府守口市</v>
      </c>
      <c r="AD56" s="460">
        <v>11.05</v>
      </c>
      <c r="AE56" s="438">
        <v>10.83</v>
      </c>
      <c r="AF56" s="459">
        <v>10.68</v>
      </c>
      <c r="AG56" s="417"/>
      <c r="AH56" s="417"/>
      <c r="AJ56" s="1"/>
      <c r="AK56" s="1"/>
      <c r="AL56" s="1"/>
      <c r="AM56" s="1"/>
      <c r="AN56" s="1"/>
      <c r="AO56"/>
      <c r="AP56"/>
      <c r="AW56"/>
      <c r="AX56" s="87"/>
      <c r="AY56" s="87"/>
      <c r="AZ56" s="280"/>
      <c r="BA56" s="280"/>
      <c r="BB56" s="280"/>
      <c r="BC56" s="2"/>
    </row>
    <row r="57" spans="1:56" ht="15" thickBot="1">
      <c r="A57" s="87"/>
      <c r="B57" s="87"/>
      <c r="C57" s="280"/>
      <c r="D57" s="280"/>
      <c r="E57" s="280"/>
      <c r="F57" s="280"/>
      <c r="G57" s="280"/>
      <c r="H57" s="280"/>
      <c r="I57" s="280"/>
      <c r="J57" s="280"/>
      <c r="K57" s="280"/>
      <c r="L57" s="280"/>
      <c r="M57" s="280"/>
      <c r="N57" s="280"/>
      <c r="O57" s="280"/>
      <c r="P57" s="34"/>
      <c r="Q57" s="34"/>
      <c r="R57" s="34"/>
      <c r="S57" s="34"/>
      <c r="T57"/>
      <c r="U57"/>
      <c r="V57" s="6" t="s">
        <v>2204</v>
      </c>
      <c r="W57" s="4" t="s">
        <v>497</v>
      </c>
      <c r="X57" s="2"/>
      <c r="Y57" s="435" t="s">
        <v>408</v>
      </c>
      <c r="Z57" s="436">
        <v>0.15</v>
      </c>
      <c r="AA57" s="437" t="s">
        <v>403</v>
      </c>
      <c r="AB57" s="438" t="s">
        <v>498</v>
      </c>
      <c r="AC57" s="439" t="str">
        <f t="shared" si="0"/>
        <v>大阪府大東市</v>
      </c>
      <c r="AD57" s="460">
        <v>11.05</v>
      </c>
      <c r="AE57" s="438">
        <v>10.83</v>
      </c>
      <c r="AF57" s="459">
        <v>10.68</v>
      </c>
      <c r="AG57" s="417"/>
      <c r="AH57" s="417"/>
      <c r="AJ57" s="1"/>
      <c r="AK57" s="1"/>
      <c r="AL57" s="1"/>
      <c r="AM57" s="1"/>
      <c r="AN57" s="1"/>
      <c r="AX57" s="87"/>
      <c r="AY57" s="87"/>
      <c r="AZ57" s="280"/>
      <c r="BA57" s="280"/>
      <c r="BB57" s="280"/>
      <c r="BC57" s="2"/>
    </row>
    <row r="58" spans="1:56" ht="15" thickBot="1">
      <c r="A58"/>
      <c r="B58"/>
      <c r="C58"/>
      <c r="D58"/>
      <c r="E58"/>
      <c r="F58"/>
      <c r="G58"/>
      <c r="H58"/>
      <c r="I58"/>
      <c r="J58" s="280"/>
      <c r="K58"/>
      <c r="L58"/>
      <c r="M58"/>
      <c r="N58"/>
      <c r="O58"/>
      <c r="P58" s="34"/>
      <c r="Q58" s="34"/>
      <c r="R58" s="34"/>
      <c r="S58" s="34"/>
      <c r="V58" s="6" t="s">
        <v>2204</v>
      </c>
      <c r="W58" s="4" t="s">
        <v>499</v>
      </c>
      <c r="X58" s="2"/>
      <c r="Y58" s="435" t="s">
        <v>408</v>
      </c>
      <c r="Z58" s="436">
        <v>0.15</v>
      </c>
      <c r="AA58" s="437" t="s">
        <v>403</v>
      </c>
      <c r="AB58" s="438" t="s">
        <v>500</v>
      </c>
      <c r="AC58" s="439" t="str">
        <f t="shared" si="0"/>
        <v>大阪府門真市</v>
      </c>
      <c r="AD58" s="460">
        <v>11.05</v>
      </c>
      <c r="AE58" s="438">
        <v>10.83</v>
      </c>
      <c r="AF58" s="459">
        <v>10.68</v>
      </c>
      <c r="AG58" s="417"/>
      <c r="AH58" s="417"/>
      <c r="AJ58" s="1"/>
      <c r="AK58" s="1"/>
      <c r="AL58" s="1"/>
      <c r="AM58" s="1"/>
      <c r="AN58" s="1"/>
      <c r="AV58"/>
      <c r="AX58" s="87"/>
      <c r="AY58" s="87"/>
      <c r="AZ58" s="280"/>
      <c r="BA58" s="280"/>
      <c r="BB58" s="280"/>
      <c r="BC58" s="2"/>
    </row>
    <row r="59" spans="1:56" ht="15" thickBot="1">
      <c r="A59"/>
      <c r="C59"/>
      <c r="D59"/>
      <c r="E59"/>
      <c r="F59"/>
      <c r="G59"/>
      <c r="H59"/>
      <c r="I59"/>
      <c r="J59"/>
      <c r="K59"/>
      <c r="L59"/>
      <c r="M59"/>
      <c r="N59"/>
      <c r="O59"/>
      <c r="P59" s="34"/>
      <c r="Q59" s="34"/>
      <c r="R59" s="34"/>
      <c r="S59" s="34"/>
      <c r="V59" s="6" t="s">
        <v>2204</v>
      </c>
      <c r="W59" s="4" t="s">
        <v>501</v>
      </c>
      <c r="X59" s="2"/>
      <c r="Y59" s="435" t="s">
        <v>408</v>
      </c>
      <c r="Z59" s="436">
        <v>0.15</v>
      </c>
      <c r="AA59" s="437" t="s">
        <v>502</v>
      </c>
      <c r="AB59" s="438" t="s">
        <v>503</v>
      </c>
      <c r="AC59" s="439" t="str">
        <f t="shared" si="0"/>
        <v>兵庫県西宮市</v>
      </c>
      <c r="AD59" s="460">
        <v>11.05</v>
      </c>
      <c r="AE59" s="438">
        <v>10.83</v>
      </c>
      <c r="AF59" s="459">
        <v>10.68</v>
      </c>
      <c r="AG59" s="417"/>
      <c r="AH59" s="417"/>
      <c r="AJ59" s="1"/>
      <c r="AK59" s="1"/>
      <c r="AL59" s="1"/>
      <c r="AM59" s="1"/>
      <c r="AN59" s="1"/>
      <c r="AV59"/>
      <c r="AX59" s="87"/>
      <c r="AY59" s="87"/>
      <c r="AZ59" s="280"/>
      <c r="BA59" s="280"/>
      <c r="BB59" s="280"/>
      <c r="BC59" s="2"/>
    </row>
    <row r="60" spans="1:56" ht="15" thickBot="1">
      <c r="A60"/>
      <c r="C60"/>
      <c r="D60"/>
      <c r="E60"/>
      <c r="F60"/>
      <c r="G60"/>
      <c r="H60"/>
      <c r="I60"/>
      <c r="J60"/>
      <c r="K60"/>
      <c r="L60"/>
      <c r="M60"/>
      <c r="N60"/>
      <c r="O60"/>
      <c r="P60" s="34"/>
      <c r="Q60" s="34"/>
      <c r="R60" s="34"/>
      <c r="S60" s="34"/>
      <c r="V60" s="6" t="s">
        <v>2204</v>
      </c>
      <c r="W60" s="4" t="s">
        <v>504</v>
      </c>
      <c r="X60" s="2"/>
      <c r="Y60" s="435" t="s">
        <v>408</v>
      </c>
      <c r="Z60" s="436">
        <v>0.15</v>
      </c>
      <c r="AA60" s="437" t="s">
        <v>502</v>
      </c>
      <c r="AB60" s="438" t="s">
        <v>505</v>
      </c>
      <c r="AC60" s="439" t="str">
        <f t="shared" si="0"/>
        <v>兵庫県芦屋市</v>
      </c>
      <c r="AD60" s="460">
        <v>11.05</v>
      </c>
      <c r="AE60" s="438">
        <v>10.83</v>
      </c>
      <c r="AF60" s="459">
        <v>10.68</v>
      </c>
      <c r="AG60" s="417"/>
      <c r="AH60" s="417"/>
      <c r="AJ60" s="1"/>
      <c r="AK60" s="1"/>
      <c r="AL60" s="1"/>
      <c r="AM60" s="1"/>
      <c r="AN60" s="1"/>
    </row>
    <row r="61" spans="1:56" ht="15" thickBot="1">
      <c r="E61" s="32"/>
      <c r="F61" s="32"/>
      <c r="G61" s="32"/>
      <c r="H61" s="32"/>
      <c r="I61" s="32"/>
      <c r="J61"/>
      <c r="K61" s="32"/>
      <c r="L61" s="32"/>
      <c r="M61" s="32"/>
      <c r="V61" s="6" t="s">
        <v>2204</v>
      </c>
      <c r="W61" s="4" t="s">
        <v>506</v>
      </c>
      <c r="X61" s="2"/>
      <c r="Y61" s="444" t="s">
        <v>408</v>
      </c>
      <c r="Z61" s="445">
        <v>0.15</v>
      </c>
      <c r="AA61" s="446" t="s">
        <v>502</v>
      </c>
      <c r="AB61" s="447" t="s">
        <v>507</v>
      </c>
      <c r="AC61" s="448" t="str">
        <f t="shared" si="0"/>
        <v>兵庫県宝塚市</v>
      </c>
      <c r="AD61" s="466">
        <v>11.05</v>
      </c>
      <c r="AE61" s="447">
        <v>10.83</v>
      </c>
      <c r="AF61" s="467">
        <v>10.68</v>
      </c>
      <c r="AG61" s="417"/>
      <c r="AH61" s="417"/>
      <c r="AJ61" s="1"/>
      <c r="AK61" s="1"/>
      <c r="AL61" s="1"/>
      <c r="AM61" s="1"/>
      <c r="AN61" s="1"/>
      <c r="AZ61" s="1"/>
    </row>
    <row r="62" spans="1:56" ht="15" thickBot="1">
      <c r="E62" s="32"/>
      <c r="F62" s="32"/>
      <c r="G62" s="32"/>
      <c r="H62" s="32"/>
      <c r="I62" s="32"/>
      <c r="J62" s="32"/>
      <c r="K62" s="32"/>
      <c r="L62" s="32"/>
      <c r="M62" s="32"/>
      <c r="V62" s="6" t="s">
        <v>2204</v>
      </c>
      <c r="W62" s="4" t="s">
        <v>508</v>
      </c>
      <c r="X62" s="2"/>
      <c r="Y62" s="427" t="s">
        <v>509</v>
      </c>
      <c r="Z62" s="428">
        <v>0.12</v>
      </c>
      <c r="AA62" s="476" t="s">
        <v>308</v>
      </c>
      <c r="AB62" s="430" t="s">
        <v>510</v>
      </c>
      <c r="AC62" s="458" t="str">
        <f t="shared" si="0"/>
        <v>茨城県牛久市</v>
      </c>
      <c r="AD62" s="457">
        <v>10.84</v>
      </c>
      <c r="AE62" s="430">
        <v>10.66</v>
      </c>
      <c r="AF62" s="458">
        <v>10.54</v>
      </c>
      <c r="AG62" s="417"/>
      <c r="AH62" s="417"/>
      <c r="AJ62" s="1"/>
      <c r="AK62" s="1"/>
      <c r="AL62" s="1"/>
      <c r="AM62" s="1"/>
      <c r="AN62" s="1"/>
      <c r="AZ62" s="1"/>
    </row>
    <row r="63" spans="1:56" ht="15" thickBot="1">
      <c r="E63" s="32"/>
      <c r="F63" s="32"/>
      <c r="G63" s="32"/>
      <c r="H63" s="32"/>
      <c r="I63" s="32"/>
      <c r="J63" s="32"/>
      <c r="K63" s="32"/>
      <c r="L63" s="32"/>
      <c r="M63" s="32"/>
      <c r="V63" s="6" t="s">
        <v>2204</v>
      </c>
      <c r="W63" s="4" t="s">
        <v>511</v>
      </c>
      <c r="X63" s="2"/>
      <c r="Y63" s="435" t="s">
        <v>509</v>
      </c>
      <c r="Z63" s="436">
        <v>0.12</v>
      </c>
      <c r="AA63" s="477" t="s">
        <v>321</v>
      </c>
      <c r="AB63" s="438" t="s">
        <v>512</v>
      </c>
      <c r="AC63" s="459" t="str">
        <f t="shared" si="0"/>
        <v>埼玉県朝霞市</v>
      </c>
      <c r="AD63" s="460">
        <v>10.84</v>
      </c>
      <c r="AE63" s="438">
        <v>10.66</v>
      </c>
      <c r="AF63" s="459">
        <v>10.54</v>
      </c>
      <c r="AG63" s="417"/>
      <c r="AH63" s="417"/>
      <c r="AJ63" s="1"/>
      <c r="AK63" s="1"/>
      <c r="AL63" s="1"/>
      <c r="AM63" s="1"/>
      <c r="AN63" s="1"/>
      <c r="AZ63" s="1"/>
    </row>
    <row r="64" spans="1:56" ht="15" thickBot="1">
      <c r="E64" s="32"/>
      <c r="F64" s="32"/>
      <c r="G64" s="32"/>
      <c r="H64" s="32"/>
      <c r="I64" s="32"/>
      <c r="J64" s="32"/>
      <c r="K64" s="32"/>
      <c r="L64" s="32"/>
      <c r="M64" s="32"/>
      <c r="V64" s="6" t="s">
        <v>2204</v>
      </c>
      <c r="W64" s="4" t="s">
        <v>513</v>
      </c>
      <c r="X64" s="2"/>
      <c r="Y64" s="435" t="s">
        <v>509</v>
      </c>
      <c r="Z64" s="436">
        <v>0.12</v>
      </c>
      <c r="AA64" s="477" t="s">
        <v>321</v>
      </c>
      <c r="AB64" s="438" t="s">
        <v>514</v>
      </c>
      <c r="AC64" s="459" t="str">
        <f t="shared" si="0"/>
        <v>埼玉県志木市</v>
      </c>
      <c r="AD64" s="460">
        <v>10.84</v>
      </c>
      <c r="AE64" s="438">
        <v>10.66</v>
      </c>
      <c r="AF64" s="459">
        <v>10.54</v>
      </c>
      <c r="AG64" s="417"/>
      <c r="AH64" s="417"/>
      <c r="AJ64" s="1"/>
      <c r="AK64" s="1"/>
      <c r="AL64" s="1"/>
      <c r="AM64" s="1"/>
      <c r="AN64" s="1"/>
      <c r="AZ64" s="1"/>
    </row>
    <row r="65" spans="22:34" ht="13.8" thickBot="1">
      <c r="V65" s="6" t="s">
        <v>2204</v>
      </c>
      <c r="W65" s="4" t="s">
        <v>515</v>
      </c>
      <c r="X65" s="2"/>
      <c r="Y65" s="435" t="s">
        <v>509</v>
      </c>
      <c r="Z65" s="436">
        <v>0.12</v>
      </c>
      <c r="AA65" s="477" t="s">
        <v>321</v>
      </c>
      <c r="AB65" s="438" t="s">
        <v>516</v>
      </c>
      <c r="AC65" s="459" t="str">
        <f t="shared" si="0"/>
        <v>埼玉県和光市</v>
      </c>
      <c r="AD65" s="460">
        <v>10.84</v>
      </c>
      <c r="AE65" s="438">
        <v>10.66</v>
      </c>
      <c r="AF65" s="459">
        <v>10.54</v>
      </c>
      <c r="AG65" s="417"/>
      <c r="AH65" s="417"/>
    </row>
    <row r="66" spans="22:34" ht="13.8" thickBot="1">
      <c r="V66" s="6" t="s">
        <v>2204</v>
      </c>
      <c r="W66" s="4" t="s">
        <v>517</v>
      </c>
      <c r="X66" s="2"/>
      <c r="Y66" s="435" t="s">
        <v>509</v>
      </c>
      <c r="Z66" s="436">
        <v>0.12</v>
      </c>
      <c r="AA66" s="477" t="s">
        <v>326</v>
      </c>
      <c r="AB66" s="438" t="s">
        <v>518</v>
      </c>
      <c r="AC66" s="459" t="str">
        <f t="shared" si="0"/>
        <v>千葉県船橋市</v>
      </c>
      <c r="AD66" s="460">
        <v>10.84</v>
      </c>
      <c r="AE66" s="438">
        <v>10.66</v>
      </c>
      <c r="AF66" s="459">
        <v>10.54</v>
      </c>
      <c r="AG66" s="417"/>
      <c r="AH66" s="417"/>
    </row>
    <row r="67" spans="22:34" ht="13.8" thickBot="1">
      <c r="V67" s="6" t="s">
        <v>2204</v>
      </c>
      <c r="W67" s="4" t="s">
        <v>519</v>
      </c>
      <c r="X67" s="2"/>
      <c r="Y67" s="435" t="s">
        <v>509</v>
      </c>
      <c r="Z67" s="436">
        <v>0.12</v>
      </c>
      <c r="AA67" s="477" t="s">
        <v>326</v>
      </c>
      <c r="AB67" s="438" t="s">
        <v>520</v>
      </c>
      <c r="AC67" s="459" t="str">
        <f t="shared" si="0"/>
        <v>千葉県成田市</v>
      </c>
      <c r="AD67" s="460">
        <v>10.84</v>
      </c>
      <c r="AE67" s="438">
        <v>10.66</v>
      </c>
      <c r="AF67" s="459">
        <v>10.54</v>
      </c>
      <c r="AG67" s="417"/>
      <c r="AH67" s="417"/>
    </row>
    <row r="68" spans="22:34" ht="13.8" thickBot="1">
      <c r="V68" s="6" t="s">
        <v>2204</v>
      </c>
      <c r="W68" s="4" t="s">
        <v>521</v>
      </c>
      <c r="X68" s="2"/>
      <c r="Y68" s="435" t="s">
        <v>509</v>
      </c>
      <c r="Z68" s="436">
        <v>0.12</v>
      </c>
      <c r="AA68" s="477" t="s">
        <v>326</v>
      </c>
      <c r="AB68" s="438" t="s">
        <v>522</v>
      </c>
      <c r="AC68" s="459" t="str">
        <f t="shared" ref="AC68:AC131" si="1">AA68&amp;AB68</f>
        <v>千葉県習志野市</v>
      </c>
      <c r="AD68" s="460">
        <v>10.84</v>
      </c>
      <c r="AE68" s="438">
        <v>10.66</v>
      </c>
      <c r="AF68" s="459">
        <v>10.54</v>
      </c>
      <c r="AG68" s="417"/>
      <c r="AH68" s="417"/>
    </row>
    <row r="69" spans="22:34" ht="13.8" thickBot="1">
      <c r="V69" s="6" t="s">
        <v>2204</v>
      </c>
      <c r="W69" s="4" t="s">
        <v>523</v>
      </c>
      <c r="X69" s="2"/>
      <c r="Y69" s="435" t="s">
        <v>509</v>
      </c>
      <c r="Z69" s="436">
        <v>0.12</v>
      </c>
      <c r="AA69" s="477" t="s">
        <v>4</v>
      </c>
      <c r="AB69" s="438" t="s">
        <v>524</v>
      </c>
      <c r="AC69" s="459" t="str">
        <f t="shared" si="1"/>
        <v>東京都立川市</v>
      </c>
      <c r="AD69" s="460">
        <v>10.84</v>
      </c>
      <c r="AE69" s="438">
        <v>10.66</v>
      </c>
      <c r="AF69" s="459">
        <v>10.54</v>
      </c>
      <c r="AG69" s="417"/>
      <c r="AH69" s="417"/>
    </row>
    <row r="70" spans="22:34" ht="13.8" thickBot="1">
      <c r="V70" s="6" t="s">
        <v>2204</v>
      </c>
      <c r="W70" s="4" t="s">
        <v>525</v>
      </c>
      <c r="X70" s="2"/>
      <c r="Y70" s="435" t="s">
        <v>509</v>
      </c>
      <c r="Z70" s="436">
        <v>0.12</v>
      </c>
      <c r="AA70" s="477" t="s">
        <v>4</v>
      </c>
      <c r="AB70" s="438" t="s">
        <v>526</v>
      </c>
      <c r="AC70" s="459" t="str">
        <f t="shared" si="1"/>
        <v>東京都昭島市</v>
      </c>
      <c r="AD70" s="460">
        <v>10.84</v>
      </c>
      <c r="AE70" s="438">
        <v>10.66</v>
      </c>
      <c r="AF70" s="459">
        <v>10.54</v>
      </c>
      <c r="AG70" s="417"/>
      <c r="AH70" s="417"/>
    </row>
    <row r="71" spans="22:34" ht="13.8" thickBot="1">
      <c r="V71" s="6" t="s">
        <v>2204</v>
      </c>
      <c r="W71" s="4" t="s">
        <v>527</v>
      </c>
      <c r="X71" s="2"/>
      <c r="Y71" s="435" t="s">
        <v>509</v>
      </c>
      <c r="Z71" s="436">
        <v>0.12</v>
      </c>
      <c r="AA71" s="477" t="s">
        <v>4</v>
      </c>
      <c r="AB71" s="438" t="s">
        <v>528</v>
      </c>
      <c r="AC71" s="459" t="str">
        <f t="shared" si="1"/>
        <v>東京都東大和市</v>
      </c>
      <c r="AD71" s="460">
        <v>10.84</v>
      </c>
      <c r="AE71" s="438">
        <v>10.66</v>
      </c>
      <c r="AF71" s="459">
        <v>10.54</v>
      </c>
      <c r="AG71" s="417"/>
      <c r="AH71" s="417"/>
    </row>
    <row r="72" spans="22:34" ht="13.8" thickBot="1">
      <c r="V72" s="6" t="s">
        <v>2204</v>
      </c>
      <c r="W72" s="4" t="s">
        <v>529</v>
      </c>
      <c r="X72" s="2"/>
      <c r="Y72" s="435" t="s">
        <v>509</v>
      </c>
      <c r="Z72" s="436">
        <v>0.12</v>
      </c>
      <c r="AA72" s="477" t="s">
        <v>333</v>
      </c>
      <c r="AB72" s="438" t="s">
        <v>530</v>
      </c>
      <c r="AC72" s="459" t="str">
        <f t="shared" si="1"/>
        <v>神奈川県相模原市</v>
      </c>
      <c r="AD72" s="460">
        <v>10.84</v>
      </c>
      <c r="AE72" s="438">
        <v>10.66</v>
      </c>
      <c r="AF72" s="459">
        <v>10.54</v>
      </c>
      <c r="AG72" s="417"/>
      <c r="AH72" s="417"/>
    </row>
    <row r="73" spans="22:34" ht="13.8" thickBot="1">
      <c r="V73" s="6" t="s">
        <v>2204</v>
      </c>
      <c r="W73" s="4" t="s">
        <v>531</v>
      </c>
      <c r="X73" s="2"/>
      <c r="Y73" s="435" t="s">
        <v>509</v>
      </c>
      <c r="Z73" s="436">
        <v>0.12</v>
      </c>
      <c r="AA73" s="477" t="s">
        <v>333</v>
      </c>
      <c r="AB73" s="438" t="s">
        <v>532</v>
      </c>
      <c r="AC73" s="459" t="str">
        <f t="shared" si="1"/>
        <v>神奈川県横須賀市</v>
      </c>
      <c r="AD73" s="460">
        <v>10.84</v>
      </c>
      <c r="AE73" s="438">
        <v>10.66</v>
      </c>
      <c r="AF73" s="459">
        <v>10.54</v>
      </c>
      <c r="AG73" s="417"/>
      <c r="AH73" s="417"/>
    </row>
    <row r="74" spans="22:34" ht="13.8" thickBot="1">
      <c r="V74" s="6" t="s">
        <v>2204</v>
      </c>
      <c r="W74" s="4" t="s">
        <v>533</v>
      </c>
      <c r="X74" s="2"/>
      <c r="Y74" s="435" t="s">
        <v>509</v>
      </c>
      <c r="Z74" s="436">
        <v>0.12</v>
      </c>
      <c r="AA74" s="477" t="s">
        <v>333</v>
      </c>
      <c r="AB74" s="438" t="s">
        <v>534</v>
      </c>
      <c r="AC74" s="459" t="str">
        <f t="shared" si="1"/>
        <v>神奈川県藤沢市</v>
      </c>
      <c r="AD74" s="460">
        <v>10.84</v>
      </c>
      <c r="AE74" s="438">
        <v>10.66</v>
      </c>
      <c r="AF74" s="459">
        <v>10.54</v>
      </c>
      <c r="AG74" s="417"/>
      <c r="AH74" s="417"/>
    </row>
    <row r="75" spans="22:34" ht="13.8" thickBot="1">
      <c r="V75" s="6" t="s">
        <v>2204</v>
      </c>
      <c r="W75" s="4" t="s">
        <v>535</v>
      </c>
      <c r="X75" s="2"/>
      <c r="Y75" s="435" t="s">
        <v>509</v>
      </c>
      <c r="Z75" s="436">
        <v>0.12</v>
      </c>
      <c r="AA75" s="477" t="s">
        <v>333</v>
      </c>
      <c r="AB75" s="438" t="s">
        <v>536</v>
      </c>
      <c r="AC75" s="459" t="str">
        <f t="shared" si="1"/>
        <v>神奈川県逗子市</v>
      </c>
      <c r="AD75" s="460">
        <v>10.84</v>
      </c>
      <c r="AE75" s="438">
        <v>10.66</v>
      </c>
      <c r="AF75" s="459">
        <v>10.54</v>
      </c>
      <c r="AG75" s="417"/>
      <c r="AH75" s="417"/>
    </row>
    <row r="76" spans="22:34" ht="13.8" thickBot="1">
      <c r="V76" s="6" t="s">
        <v>2204</v>
      </c>
      <c r="W76" s="4" t="s">
        <v>537</v>
      </c>
      <c r="X76" s="2"/>
      <c r="Y76" s="435" t="s">
        <v>509</v>
      </c>
      <c r="Z76" s="436">
        <v>0.12</v>
      </c>
      <c r="AA76" s="477" t="s">
        <v>333</v>
      </c>
      <c r="AB76" s="438" t="s">
        <v>538</v>
      </c>
      <c r="AC76" s="459" t="str">
        <f t="shared" si="1"/>
        <v>神奈川県三浦市</v>
      </c>
      <c r="AD76" s="460">
        <v>10.84</v>
      </c>
      <c r="AE76" s="438">
        <v>10.66</v>
      </c>
      <c r="AF76" s="459">
        <v>10.54</v>
      </c>
      <c r="AG76" s="417"/>
      <c r="AH76" s="417"/>
    </row>
    <row r="77" spans="22:34" ht="13.8" thickBot="1">
      <c r="V77" s="6" t="s">
        <v>2204</v>
      </c>
      <c r="W77" s="4" t="s">
        <v>539</v>
      </c>
      <c r="X77" s="2"/>
      <c r="Y77" s="435" t="s">
        <v>509</v>
      </c>
      <c r="Z77" s="436">
        <v>0.12</v>
      </c>
      <c r="AA77" s="477" t="s">
        <v>333</v>
      </c>
      <c r="AB77" s="438" t="s">
        <v>540</v>
      </c>
      <c r="AC77" s="459" t="str">
        <f t="shared" si="1"/>
        <v>神奈川県海老名市</v>
      </c>
      <c r="AD77" s="460">
        <v>10.84</v>
      </c>
      <c r="AE77" s="438">
        <v>10.66</v>
      </c>
      <c r="AF77" s="459">
        <v>10.54</v>
      </c>
      <c r="AG77" s="417"/>
      <c r="AH77" s="417"/>
    </row>
    <row r="78" spans="22:34" ht="13.8" thickBot="1">
      <c r="V78" s="6" t="s">
        <v>2204</v>
      </c>
      <c r="W78" s="4" t="s">
        <v>541</v>
      </c>
      <c r="X78" s="2"/>
      <c r="Y78" s="435" t="s">
        <v>509</v>
      </c>
      <c r="Z78" s="436">
        <v>0.12</v>
      </c>
      <c r="AA78" s="477" t="s">
        <v>388</v>
      </c>
      <c r="AB78" s="438" t="s">
        <v>542</v>
      </c>
      <c r="AC78" s="459" t="str">
        <f t="shared" si="1"/>
        <v>大阪府豊中市</v>
      </c>
      <c r="AD78" s="460">
        <v>10.84</v>
      </c>
      <c r="AE78" s="438">
        <v>10.66</v>
      </c>
      <c r="AF78" s="459">
        <v>10.54</v>
      </c>
      <c r="AG78" s="417"/>
      <c r="AH78" s="417"/>
    </row>
    <row r="79" spans="22:34" ht="13.8" thickBot="1">
      <c r="V79" s="6" t="s">
        <v>2204</v>
      </c>
      <c r="W79" s="4" t="s">
        <v>543</v>
      </c>
      <c r="X79" s="2"/>
      <c r="Y79" s="435" t="s">
        <v>509</v>
      </c>
      <c r="Z79" s="436">
        <v>0.12</v>
      </c>
      <c r="AA79" s="477" t="s">
        <v>388</v>
      </c>
      <c r="AB79" s="438" t="s">
        <v>544</v>
      </c>
      <c r="AC79" s="459" t="str">
        <f t="shared" si="1"/>
        <v>大阪府池田市</v>
      </c>
      <c r="AD79" s="460">
        <v>10.84</v>
      </c>
      <c r="AE79" s="438">
        <v>10.66</v>
      </c>
      <c r="AF79" s="459">
        <v>10.54</v>
      </c>
      <c r="AG79" s="417"/>
      <c r="AH79" s="417"/>
    </row>
    <row r="80" spans="22:34" ht="13.8" thickBot="1">
      <c r="V80" s="6" t="s">
        <v>2204</v>
      </c>
      <c r="W80" s="4" t="s">
        <v>545</v>
      </c>
      <c r="X80" s="2"/>
      <c r="Y80" s="435" t="s">
        <v>509</v>
      </c>
      <c r="Z80" s="436">
        <v>0.12</v>
      </c>
      <c r="AA80" s="477" t="s">
        <v>388</v>
      </c>
      <c r="AB80" s="438" t="s">
        <v>546</v>
      </c>
      <c r="AC80" s="459" t="str">
        <f t="shared" si="1"/>
        <v>大阪府吹田市</v>
      </c>
      <c r="AD80" s="460">
        <v>10.84</v>
      </c>
      <c r="AE80" s="438">
        <v>10.66</v>
      </c>
      <c r="AF80" s="459">
        <v>10.54</v>
      </c>
      <c r="AG80" s="417"/>
      <c r="AH80" s="417"/>
    </row>
    <row r="81" spans="22:34" ht="13.8" thickBot="1">
      <c r="V81" s="6" t="s">
        <v>2204</v>
      </c>
      <c r="W81" s="4" t="s">
        <v>547</v>
      </c>
      <c r="X81" s="2"/>
      <c r="Y81" s="435" t="s">
        <v>509</v>
      </c>
      <c r="Z81" s="436">
        <v>0.12</v>
      </c>
      <c r="AA81" s="477" t="s">
        <v>388</v>
      </c>
      <c r="AB81" s="438" t="s">
        <v>548</v>
      </c>
      <c r="AC81" s="459" t="str">
        <f t="shared" si="1"/>
        <v>大阪府高槻市</v>
      </c>
      <c r="AD81" s="460">
        <v>10.84</v>
      </c>
      <c r="AE81" s="438">
        <v>10.66</v>
      </c>
      <c r="AF81" s="459">
        <v>10.54</v>
      </c>
      <c r="AG81" s="417"/>
      <c r="AH81" s="417"/>
    </row>
    <row r="82" spans="22:34" ht="13.8" thickBot="1">
      <c r="V82" s="6" t="s">
        <v>2204</v>
      </c>
      <c r="W82" s="4" t="s">
        <v>549</v>
      </c>
      <c r="X82" s="2"/>
      <c r="Y82" s="435" t="s">
        <v>509</v>
      </c>
      <c r="Z82" s="436">
        <v>0.12</v>
      </c>
      <c r="AA82" s="477" t="s">
        <v>388</v>
      </c>
      <c r="AB82" s="438" t="s">
        <v>550</v>
      </c>
      <c r="AC82" s="459" t="str">
        <f t="shared" si="1"/>
        <v>大阪府寝屋川市</v>
      </c>
      <c r="AD82" s="460">
        <v>10.84</v>
      </c>
      <c r="AE82" s="438">
        <v>10.66</v>
      </c>
      <c r="AF82" s="459">
        <v>10.54</v>
      </c>
      <c r="AG82" s="417"/>
      <c r="AH82" s="417"/>
    </row>
    <row r="83" spans="22:34" ht="13.8" thickBot="1">
      <c r="V83" s="6" t="s">
        <v>2204</v>
      </c>
      <c r="W83" s="4" t="s">
        <v>551</v>
      </c>
      <c r="X83" s="2"/>
      <c r="Y83" s="435" t="s">
        <v>509</v>
      </c>
      <c r="Z83" s="436">
        <v>0.12</v>
      </c>
      <c r="AA83" s="477" t="s">
        <v>388</v>
      </c>
      <c r="AB83" s="438" t="s">
        <v>552</v>
      </c>
      <c r="AC83" s="459" t="str">
        <f t="shared" si="1"/>
        <v>大阪府箕面市</v>
      </c>
      <c r="AD83" s="460">
        <v>10.84</v>
      </c>
      <c r="AE83" s="438">
        <v>10.66</v>
      </c>
      <c r="AF83" s="459">
        <v>10.54</v>
      </c>
      <c r="AG83" s="417"/>
      <c r="AH83" s="417"/>
    </row>
    <row r="84" spans="22:34" ht="13.8" thickBot="1">
      <c r="V84" s="6" t="s">
        <v>2204</v>
      </c>
      <c r="W84" s="4" t="s">
        <v>553</v>
      </c>
      <c r="X84" s="2"/>
      <c r="Y84" s="435" t="s">
        <v>509</v>
      </c>
      <c r="Z84" s="436">
        <v>0.12</v>
      </c>
      <c r="AA84" s="477" t="s">
        <v>388</v>
      </c>
      <c r="AB84" s="438" t="s">
        <v>554</v>
      </c>
      <c r="AC84" s="459" t="str">
        <f t="shared" si="1"/>
        <v>大阪府四條畷市</v>
      </c>
      <c r="AD84" s="460">
        <v>10.84</v>
      </c>
      <c r="AE84" s="438">
        <v>10.66</v>
      </c>
      <c r="AF84" s="459">
        <v>10.54</v>
      </c>
      <c r="AG84" s="417"/>
      <c r="AH84" s="417"/>
    </row>
    <row r="85" spans="22:34" ht="13.8" thickBot="1">
      <c r="V85" s="6" t="s">
        <v>2204</v>
      </c>
      <c r="W85" s="4" t="s">
        <v>555</v>
      </c>
      <c r="X85" s="2"/>
      <c r="Y85" s="444" t="s">
        <v>509</v>
      </c>
      <c r="Z85" s="445">
        <v>0.12</v>
      </c>
      <c r="AA85" s="478" t="s">
        <v>392</v>
      </c>
      <c r="AB85" s="447" t="s">
        <v>556</v>
      </c>
      <c r="AC85" s="467" t="str">
        <f t="shared" si="1"/>
        <v>兵庫県神戸市</v>
      </c>
      <c r="AD85" s="466">
        <v>10.84</v>
      </c>
      <c r="AE85" s="447">
        <v>10.66</v>
      </c>
      <c r="AF85" s="467">
        <v>10.54</v>
      </c>
      <c r="AG85" s="417"/>
      <c r="AH85" s="417"/>
    </row>
    <row r="86" spans="22:34" ht="13.8" thickBot="1">
      <c r="V86" s="6" t="s">
        <v>2204</v>
      </c>
      <c r="W86" s="4" t="s">
        <v>557</v>
      </c>
      <c r="X86" s="2"/>
      <c r="Y86" s="427" t="s">
        <v>558</v>
      </c>
      <c r="Z86" s="428">
        <v>0.1</v>
      </c>
      <c r="AA86" s="476" t="s">
        <v>308</v>
      </c>
      <c r="AB86" s="430" t="s">
        <v>559</v>
      </c>
      <c r="AC86" s="431" t="str">
        <f t="shared" si="1"/>
        <v>茨城県水戸市</v>
      </c>
      <c r="AD86" s="479">
        <v>10.7</v>
      </c>
      <c r="AE86" s="455">
        <v>10.55</v>
      </c>
      <c r="AF86" s="456">
        <v>10.45</v>
      </c>
      <c r="AG86" s="417"/>
      <c r="AH86" s="417"/>
    </row>
    <row r="87" spans="22:34" ht="13.8" thickBot="1">
      <c r="V87" s="6" t="s">
        <v>2204</v>
      </c>
      <c r="W87" s="4" t="s">
        <v>560</v>
      </c>
      <c r="X87" s="2"/>
      <c r="Y87" s="435" t="s">
        <v>558</v>
      </c>
      <c r="Z87" s="436">
        <v>0.1</v>
      </c>
      <c r="AA87" s="477" t="s">
        <v>308</v>
      </c>
      <c r="AB87" s="438" t="s">
        <v>561</v>
      </c>
      <c r="AC87" s="439" t="str">
        <f t="shared" si="1"/>
        <v>茨城県日立市</v>
      </c>
      <c r="AD87" s="460">
        <v>10.7</v>
      </c>
      <c r="AE87" s="438">
        <v>10.55</v>
      </c>
      <c r="AF87" s="459">
        <v>10.45</v>
      </c>
      <c r="AG87" s="417"/>
      <c r="AH87" s="417"/>
    </row>
    <row r="88" spans="22:34" ht="13.8" thickBot="1">
      <c r="V88" s="6" t="s">
        <v>2204</v>
      </c>
      <c r="W88" s="4" t="s">
        <v>562</v>
      </c>
      <c r="X88" s="2"/>
      <c r="Y88" s="435" t="s">
        <v>558</v>
      </c>
      <c r="Z88" s="436">
        <v>0.1</v>
      </c>
      <c r="AA88" s="477" t="s">
        <v>308</v>
      </c>
      <c r="AB88" s="438" t="s">
        <v>563</v>
      </c>
      <c r="AC88" s="439" t="str">
        <f t="shared" si="1"/>
        <v>茨城県龍ケ崎市</v>
      </c>
      <c r="AD88" s="460">
        <v>10.7</v>
      </c>
      <c r="AE88" s="438">
        <v>10.55</v>
      </c>
      <c r="AF88" s="459">
        <v>10.45</v>
      </c>
      <c r="AG88" s="417"/>
      <c r="AH88" s="417"/>
    </row>
    <row r="89" spans="22:34" ht="13.8" thickBot="1">
      <c r="V89" s="6" t="s">
        <v>2204</v>
      </c>
      <c r="W89" s="4" t="s">
        <v>564</v>
      </c>
      <c r="X89" s="2"/>
      <c r="Y89" s="435" t="s">
        <v>558</v>
      </c>
      <c r="Z89" s="436">
        <v>0.1</v>
      </c>
      <c r="AA89" s="477" t="s">
        <v>308</v>
      </c>
      <c r="AB89" s="438" t="s">
        <v>565</v>
      </c>
      <c r="AC89" s="439" t="str">
        <f t="shared" si="1"/>
        <v>茨城県取手市</v>
      </c>
      <c r="AD89" s="460">
        <v>10.7</v>
      </c>
      <c r="AE89" s="438">
        <v>10.55</v>
      </c>
      <c r="AF89" s="459">
        <v>10.45</v>
      </c>
      <c r="AG89" s="417"/>
      <c r="AH89" s="417"/>
    </row>
    <row r="90" spans="22:34" ht="13.8" thickBot="1">
      <c r="V90" s="6" t="s">
        <v>2204</v>
      </c>
      <c r="W90" s="4" t="s">
        <v>566</v>
      </c>
      <c r="X90" s="2"/>
      <c r="Y90" s="435" t="s">
        <v>558</v>
      </c>
      <c r="Z90" s="436">
        <v>0.1</v>
      </c>
      <c r="AA90" s="477" t="s">
        <v>308</v>
      </c>
      <c r="AB90" s="438" t="s">
        <v>567</v>
      </c>
      <c r="AC90" s="439" t="str">
        <f t="shared" si="1"/>
        <v>茨城県つくば市</v>
      </c>
      <c r="AD90" s="460">
        <v>10.7</v>
      </c>
      <c r="AE90" s="438">
        <v>10.55</v>
      </c>
      <c r="AF90" s="459">
        <v>10.45</v>
      </c>
      <c r="AG90" s="417"/>
      <c r="AH90" s="417"/>
    </row>
    <row r="91" spans="22:34" ht="13.8" thickBot="1">
      <c r="V91" s="6" t="s">
        <v>2204</v>
      </c>
      <c r="W91" s="4" t="s">
        <v>568</v>
      </c>
      <c r="X91" s="2"/>
      <c r="Y91" s="435" t="s">
        <v>558</v>
      </c>
      <c r="Z91" s="436">
        <v>0.1</v>
      </c>
      <c r="AA91" s="477" t="s">
        <v>308</v>
      </c>
      <c r="AB91" s="438" t="s">
        <v>569</v>
      </c>
      <c r="AC91" s="439" t="str">
        <f t="shared" si="1"/>
        <v>茨城県守谷市</v>
      </c>
      <c r="AD91" s="460">
        <v>10.7</v>
      </c>
      <c r="AE91" s="438">
        <v>10.55</v>
      </c>
      <c r="AF91" s="459">
        <v>10.45</v>
      </c>
      <c r="AG91" s="417"/>
      <c r="AH91" s="417"/>
    </row>
    <row r="92" spans="22:34" ht="13.8" thickBot="1">
      <c r="V92" s="6" t="s">
        <v>2204</v>
      </c>
      <c r="W92" s="4" t="s">
        <v>570</v>
      </c>
      <c r="X92" s="2"/>
      <c r="Y92" s="435" t="s">
        <v>558</v>
      </c>
      <c r="Z92" s="436">
        <v>0.1</v>
      </c>
      <c r="AA92" s="477" t="s">
        <v>321</v>
      </c>
      <c r="AB92" s="438" t="s">
        <v>571</v>
      </c>
      <c r="AC92" s="439" t="str">
        <f t="shared" si="1"/>
        <v>埼玉県川口市</v>
      </c>
      <c r="AD92" s="460">
        <v>10.7</v>
      </c>
      <c r="AE92" s="438">
        <v>10.55</v>
      </c>
      <c r="AF92" s="459">
        <v>10.45</v>
      </c>
      <c r="AG92" s="417"/>
      <c r="AH92" s="417"/>
    </row>
    <row r="93" spans="22:34" ht="13.8" thickBot="1">
      <c r="V93" s="6" t="s">
        <v>2204</v>
      </c>
      <c r="W93" s="4" t="s">
        <v>572</v>
      </c>
      <c r="X93" s="2"/>
      <c r="Y93" s="435" t="s">
        <v>558</v>
      </c>
      <c r="Z93" s="436">
        <v>0.1</v>
      </c>
      <c r="AA93" s="477" t="s">
        <v>321</v>
      </c>
      <c r="AB93" s="438" t="s">
        <v>573</v>
      </c>
      <c r="AC93" s="439" t="str">
        <f t="shared" si="1"/>
        <v>埼玉県草加市</v>
      </c>
      <c r="AD93" s="460">
        <v>10.7</v>
      </c>
      <c r="AE93" s="438">
        <v>10.55</v>
      </c>
      <c r="AF93" s="459">
        <v>10.45</v>
      </c>
      <c r="AG93" s="417"/>
      <c r="AH93" s="417"/>
    </row>
    <row r="94" spans="22:34" ht="13.8" thickBot="1">
      <c r="V94" s="6" t="s">
        <v>2204</v>
      </c>
      <c r="W94" s="4" t="s">
        <v>574</v>
      </c>
      <c r="X94" s="2"/>
      <c r="Y94" s="435" t="s">
        <v>558</v>
      </c>
      <c r="Z94" s="436">
        <v>0.1</v>
      </c>
      <c r="AA94" s="477" t="s">
        <v>321</v>
      </c>
      <c r="AB94" s="438" t="s">
        <v>575</v>
      </c>
      <c r="AC94" s="439" t="str">
        <f t="shared" si="1"/>
        <v>埼玉県戸田市</v>
      </c>
      <c r="AD94" s="460">
        <v>10.7</v>
      </c>
      <c r="AE94" s="438">
        <v>10.55</v>
      </c>
      <c r="AF94" s="459">
        <v>10.45</v>
      </c>
      <c r="AG94" s="417"/>
      <c r="AH94" s="417"/>
    </row>
    <row r="95" spans="22:34" ht="13.8" thickBot="1">
      <c r="V95" s="6" t="s">
        <v>2204</v>
      </c>
      <c r="W95" s="4" t="s">
        <v>576</v>
      </c>
      <c r="X95" s="2"/>
      <c r="Y95" s="435" t="s">
        <v>558</v>
      </c>
      <c r="Z95" s="436">
        <v>0.1</v>
      </c>
      <c r="AA95" s="477" t="s">
        <v>321</v>
      </c>
      <c r="AB95" s="438" t="s">
        <v>577</v>
      </c>
      <c r="AC95" s="439" t="str">
        <f t="shared" si="1"/>
        <v>埼玉県新座市</v>
      </c>
      <c r="AD95" s="460">
        <v>10.7</v>
      </c>
      <c r="AE95" s="438">
        <v>10.55</v>
      </c>
      <c r="AF95" s="459">
        <v>10.45</v>
      </c>
      <c r="AG95" s="417"/>
      <c r="AH95" s="417"/>
    </row>
    <row r="96" spans="22:34" ht="13.8" thickBot="1">
      <c r="V96" s="6" t="s">
        <v>2204</v>
      </c>
      <c r="W96" s="4" t="s">
        <v>578</v>
      </c>
      <c r="X96" s="2"/>
      <c r="Y96" s="435" t="s">
        <v>558</v>
      </c>
      <c r="Z96" s="436">
        <v>0.1</v>
      </c>
      <c r="AA96" s="477" t="s">
        <v>321</v>
      </c>
      <c r="AB96" s="438" t="s">
        <v>579</v>
      </c>
      <c r="AC96" s="439" t="str">
        <f t="shared" si="1"/>
        <v>埼玉県八潮市</v>
      </c>
      <c r="AD96" s="460">
        <v>10.7</v>
      </c>
      <c r="AE96" s="438">
        <v>10.55</v>
      </c>
      <c r="AF96" s="459">
        <v>10.45</v>
      </c>
      <c r="AG96" s="417"/>
      <c r="AH96" s="417"/>
    </row>
    <row r="97" spans="22:34" ht="13.8" thickBot="1">
      <c r="V97" s="6" t="s">
        <v>2204</v>
      </c>
      <c r="W97" s="4" t="s">
        <v>580</v>
      </c>
      <c r="X97" s="2"/>
      <c r="Y97" s="435" t="s">
        <v>558</v>
      </c>
      <c r="Z97" s="436">
        <v>0.1</v>
      </c>
      <c r="AA97" s="477" t="s">
        <v>321</v>
      </c>
      <c r="AB97" s="438" t="s">
        <v>581</v>
      </c>
      <c r="AC97" s="439" t="str">
        <f t="shared" si="1"/>
        <v>埼玉県ふじみ野市</v>
      </c>
      <c r="AD97" s="460">
        <v>10.7</v>
      </c>
      <c r="AE97" s="438">
        <v>10.55</v>
      </c>
      <c r="AF97" s="459">
        <v>10.45</v>
      </c>
      <c r="AG97" s="417"/>
      <c r="AH97" s="417"/>
    </row>
    <row r="98" spans="22:34" ht="13.8" thickBot="1">
      <c r="V98" s="6" t="s">
        <v>2204</v>
      </c>
      <c r="W98" s="4" t="s">
        <v>582</v>
      </c>
      <c r="X98" s="2"/>
      <c r="Y98" s="435" t="s">
        <v>558</v>
      </c>
      <c r="Z98" s="436">
        <v>0.1</v>
      </c>
      <c r="AA98" s="477" t="s">
        <v>326</v>
      </c>
      <c r="AB98" s="438" t="s">
        <v>583</v>
      </c>
      <c r="AC98" s="439" t="str">
        <f t="shared" si="1"/>
        <v>千葉県市川市</v>
      </c>
      <c r="AD98" s="460">
        <v>10.7</v>
      </c>
      <c r="AE98" s="438">
        <v>10.55</v>
      </c>
      <c r="AF98" s="459">
        <v>10.45</v>
      </c>
      <c r="AG98" s="417"/>
      <c r="AH98" s="417"/>
    </row>
    <row r="99" spans="22:34" ht="13.8" thickBot="1">
      <c r="V99" s="6" t="s">
        <v>2204</v>
      </c>
      <c r="W99" s="4" t="s">
        <v>584</v>
      </c>
      <c r="X99" s="2"/>
      <c r="Y99" s="435" t="s">
        <v>558</v>
      </c>
      <c r="Z99" s="436">
        <v>0.1</v>
      </c>
      <c r="AA99" s="477" t="s">
        <v>326</v>
      </c>
      <c r="AB99" s="438" t="s">
        <v>585</v>
      </c>
      <c r="AC99" s="439" t="str">
        <f t="shared" si="1"/>
        <v>千葉県松戸市</v>
      </c>
      <c r="AD99" s="460">
        <v>10.7</v>
      </c>
      <c r="AE99" s="438">
        <v>10.55</v>
      </c>
      <c r="AF99" s="459">
        <v>10.45</v>
      </c>
      <c r="AG99" s="417"/>
      <c r="AH99" s="417"/>
    </row>
    <row r="100" spans="22:34" ht="13.8" thickBot="1">
      <c r="V100" s="6" t="s">
        <v>2204</v>
      </c>
      <c r="W100" s="4" t="s">
        <v>586</v>
      </c>
      <c r="X100" s="2"/>
      <c r="Y100" s="435" t="s">
        <v>558</v>
      </c>
      <c r="Z100" s="436">
        <v>0.1</v>
      </c>
      <c r="AA100" s="477" t="s">
        <v>326</v>
      </c>
      <c r="AB100" s="438" t="s">
        <v>587</v>
      </c>
      <c r="AC100" s="439" t="str">
        <f t="shared" si="1"/>
        <v>千葉県佐倉市</v>
      </c>
      <c r="AD100" s="460">
        <v>10.7</v>
      </c>
      <c r="AE100" s="438">
        <v>10.55</v>
      </c>
      <c r="AF100" s="459">
        <v>10.45</v>
      </c>
      <c r="AG100" s="417"/>
      <c r="AH100" s="417"/>
    </row>
    <row r="101" spans="22:34" ht="13.8" thickBot="1">
      <c r="V101" s="6" t="s">
        <v>2204</v>
      </c>
      <c r="W101" s="4" t="s">
        <v>588</v>
      </c>
      <c r="X101" s="2"/>
      <c r="Y101" s="435" t="s">
        <v>558</v>
      </c>
      <c r="Z101" s="436">
        <v>0.1</v>
      </c>
      <c r="AA101" s="477" t="s">
        <v>326</v>
      </c>
      <c r="AB101" s="438" t="s">
        <v>589</v>
      </c>
      <c r="AC101" s="439" t="str">
        <f t="shared" si="1"/>
        <v>千葉県市原市</v>
      </c>
      <c r="AD101" s="460">
        <v>10.7</v>
      </c>
      <c r="AE101" s="438">
        <v>10.55</v>
      </c>
      <c r="AF101" s="459">
        <v>10.45</v>
      </c>
      <c r="AG101" s="417"/>
      <c r="AH101" s="417"/>
    </row>
    <row r="102" spans="22:34" ht="13.8" thickBot="1">
      <c r="V102" s="6" t="s">
        <v>2204</v>
      </c>
      <c r="W102" s="4" t="s">
        <v>590</v>
      </c>
      <c r="X102" s="2"/>
      <c r="Y102" s="435" t="s">
        <v>558</v>
      </c>
      <c r="Z102" s="436">
        <v>0.1</v>
      </c>
      <c r="AA102" s="477" t="s">
        <v>591</v>
      </c>
      <c r="AB102" s="438" t="s">
        <v>592</v>
      </c>
      <c r="AC102" s="439" t="str">
        <f t="shared" si="1"/>
        <v>千葉県八千代市</v>
      </c>
      <c r="AD102" s="460">
        <v>10.7</v>
      </c>
      <c r="AE102" s="438">
        <v>10.55</v>
      </c>
      <c r="AF102" s="459">
        <v>10.45</v>
      </c>
      <c r="AG102" s="417"/>
      <c r="AH102" s="417"/>
    </row>
    <row r="103" spans="22:34" ht="13.8" thickBot="1">
      <c r="V103" s="6" t="s">
        <v>2204</v>
      </c>
      <c r="W103" s="4" t="s">
        <v>593</v>
      </c>
      <c r="X103" s="2"/>
      <c r="Y103" s="435" t="s">
        <v>558</v>
      </c>
      <c r="Z103" s="436">
        <v>0.1</v>
      </c>
      <c r="AA103" s="477" t="s">
        <v>326</v>
      </c>
      <c r="AB103" s="438" t="s">
        <v>594</v>
      </c>
      <c r="AC103" s="439" t="str">
        <f t="shared" si="1"/>
        <v>千葉県四街道市</v>
      </c>
      <c r="AD103" s="460">
        <v>10.7</v>
      </c>
      <c r="AE103" s="438">
        <v>10.55</v>
      </c>
      <c r="AF103" s="459">
        <v>10.45</v>
      </c>
      <c r="AG103" s="417"/>
      <c r="AH103" s="417"/>
    </row>
    <row r="104" spans="22:34" ht="13.8" thickBot="1">
      <c r="V104" s="6" t="s">
        <v>2204</v>
      </c>
      <c r="W104" s="4" t="s">
        <v>595</v>
      </c>
      <c r="X104" s="2"/>
      <c r="Y104" s="435" t="s">
        <v>558</v>
      </c>
      <c r="Z104" s="436">
        <v>0.1</v>
      </c>
      <c r="AA104" s="477" t="s">
        <v>326</v>
      </c>
      <c r="AB104" s="438" t="s">
        <v>596</v>
      </c>
      <c r="AC104" s="439" t="str">
        <f t="shared" si="1"/>
        <v>千葉県袖ケ浦市</v>
      </c>
      <c r="AD104" s="460">
        <v>10.7</v>
      </c>
      <c r="AE104" s="438">
        <v>10.55</v>
      </c>
      <c r="AF104" s="459">
        <v>10.45</v>
      </c>
      <c r="AG104" s="417"/>
      <c r="AH104" s="417"/>
    </row>
    <row r="105" spans="22:34" ht="13.8" thickBot="1">
      <c r="V105" s="6" t="s">
        <v>2204</v>
      </c>
      <c r="W105" s="4" t="s">
        <v>597</v>
      </c>
      <c r="X105" s="2"/>
      <c r="Y105" s="435" t="s">
        <v>558</v>
      </c>
      <c r="Z105" s="436">
        <v>0.1</v>
      </c>
      <c r="AA105" s="477" t="s">
        <v>326</v>
      </c>
      <c r="AB105" s="438" t="s">
        <v>598</v>
      </c>
      <c r="AC105" s="439" t="str">
        <f t="shared" si="1"/>
        <v>千葉県印西市</v>
      </c>
      <c r="AD105" s="460">
        <v>10.7</v>
      </c>
      <c r="AE105" s="438">
        <v>10.55</v>
      </c>
      <c r="AF105" s="459">
        <v>10.45</v>
      </c>
      <c r="AG105" s="417"/>
      <c r="AH105" s="417"/>
    </row>
    <row r="106" spans="22:34" ht="13.8" thickBot="1">
      <c r="V106" s="6" t="s">
        <v>2204</v>
      </c>
      <c r="W106" s="4" t="s">
        <v>599</v>
      </c>
      <c r="X106" s="2"/>
      <c r="Y106" s="435" t="s">
        <v>558</v>
      </c>
      <c r="Z106" s="436">
        <v>0.1</v>
      </c>
      <c r="AA106" s="477" t="s">
        <v>326</v>
      </c>
      <c r="AB106" s="438" t="s">
        <v>600</v>
      </c>
      <c r="AC106" s="439" t="str">
        <f t="shared" si="1"/>
        <v>千葉県栄町</v>
      </c>
      <c r="AD106" s="460">
        <v>10.7</v>
      </c>
      <c r="AE106" s="438">
        <v>10.55</v>
      </c>
      <c r="AF106" s="459">
        <v>10.45</v>
      </c>
      <c r="AG106" s="417"/>
      <c r="AH106" s="417"/>
    </row>
    <row r="107" spans="22:34" ht="13.8" thickBot="1">
      <c r="V107" s="6" t="s">
        <v>2204</v>
      </c>
      <c r="W107" s="4" t="s">
        <v>601</v>
      </c>
      <c r="X107" s="2"/>
      <c r="Y107" s="435" t="s">
        <v>558</v>
      </c>
      <c r="Z107" s="436">
        <v>0.1</v>
      </c>
      <c r="AA107" s="477" t="s">
        <v>4</v>
      </c>
      <c r="AB107" s="438" t="s">
        <v>602</v>
      </c>
      <c r="AC107" s="439" t="str">
        <f t="shared" si="1"/>
        <v>東京都福生市</v>
      </c>
      <c r="AD107" s="460">
        <v>10.7</v>
      </c>
      <c r="AE107" s="438">
        <v>10.55</v>
      </c>
      <c r="AF107" s="459">
        <v>10.45</v>
      </c>
      <c r="AG107" s="417"/>
      <c r="AH107" s="417"/>
    </row>
    <row r="108" spans="22:34" ht="13.8" thickBot="1">
      <c r="V108" s="6" t="s">
        <v>2204</v>
      </c>
      <c r="W108" s="4" t="s">
        <v>603</v>
      </c>
      <c r="X108" s="2"/>
      <c r="Y108" s="435" t="s">
        <v>558</v>
      </c>
      <c r="Z108" s="436">
        <v>0.1</v>
      </c>
      <c r="AA108" s="477" t="s">
        <v>4</v>
      </c>
      <c r="AB108" s="438" t="s">
        <v>604</v>
      </c>
      <c r="AC108" s="439" t="str">
        <f t="shared" si="1"/>
        <v>東京都あきる野市</v>
      </c>
      <c r="AD108" s="460">
        <v>10.7</v>
      </c>
      <c r="AE108" s="438">
        <v>10.55</v>
      </c>
      <c r="AF108" s="459">
        <v>10.45</v>
      </c>
      <c r="AG108" s="417"/>
      <c r="AH108" s="417"/>
    </row>
    <row r="109" spans="22:34" ht="13.8" thickBot="1">
      <c r="V109" s="6" t="s">
        <v>2204</v>
      </c>
      <c r="W109" s="4" t="s">
        <v>605</v>
      </c>
      <c r="X109" s="2"/>
      <c r="Y109" s="435" t="s">
        <v>558</v>
      </c>
      <c r="Z109" s="436">
        <v>0.1</v>
      </c>
      <c r="AA109" s="477" t="s">
        <v>4</v>
      </c>
      <c r="AB109" s="438" t="s">
        <v>606</v>
      </c>
      <c r="AC109" s="439" t="str">
        <f t="shared" si="1"/>
        <v>東京都日の出町</v>
      </c>
      <c r="AD109" s="460">
        <v>10.7</v>
      </c>
      <c r="AE109" s="438">
        <v>10.55</v>
      </c>
      <c r="AF109" s="459">
        <v>10.45</v>
      </c>
      <c r="AG109" s="417"/>
      <c r="AH109" s="417"/>
    </row>
    <row r="110" spans="22:34" ht="13.8" thickBot="1">
      <c r="V110" s="6" t="s">
        <v>2204</v>
      </c>
      <c r="W110" s="4" t="s">
        <v>607</v>
      </c>
      <c r="X110" s="2"/>
      <c r="Y110" s="435" t="s">
        <v>558</v>
      </c>
      <c r="Z110" s="436">
        <v>0.1</v>
      </c>
      <c r="AA110" s="477" t="s">
        <v>333</v>
      </c>
      <c r="AB110" s="438" t="s">
        <v>608</v>
      </c>
      <c r="AC110" s="439" t="str">
        <f t="shared" si="1"/>
        <v>神奈川県平塚市</v>
      </c>
      <c r="AD110" s="460">
        <v>10.7</v>
      </c>
      <c r="AE110" s="438">
        <v>10.55</v>
      </c>
      <c r="AF110" s="459">
        <v>10.45</v>
      </c>
      <c r="AG110" s="417"/>
      <c r="AH110" s="417"/>
    </row>
    <row r="111" spans="22:34" ht="13.8" thickBot="1">
      <c r="V111" s="6" t="s">
        <v>2204</v>
      </c>
      <c r="W111" s="4" t="s">
        <v>609</v>
      </c>
      <c r="X111" s="2"/>
      <c r="Y111" s="435" t="s">
        <v>558</v>
      </c>
      <c r="Z111" s="436">
        <v>0.1</v>
      </c>
      <c r="AA111" s="477" t="s">
        <v>333</v>
      </c>
      <c r="AB111" s="438" t="s">
        <v>610</v>
      </c>
      <c r="AC111" s="439" t="str">
        <f t="shared" si="1"/>
        <v>神奈川県小田原市</v>
      </c>
      <c r="AD111" s="460">
        <v>10.7</v>
      </c>
      <c r="AE111" s="438">
        <v>10.55</v>
      </c>
      <c r="AF111" s="459">
        <v>10.45</v>
      </c>
      <c r="AG111" s="417"/>
      <c r="AH111" s="417"/>
    </row>
    <row r="112" spans="22:34" ht="13.8" thickBot="1">
      <c r="V112" s="6" t="s">
        <v>2204</v>
      </c>
      <c r="W112" s="4" t="s">
        <v>611</v>
      </c>
      <c r="X112" s="2"/>
      <c r="Y112" s="435" t="s">
        <v>558</v>
      </c>
      <c r="Z112" s="436">
        <v>0.1</v>
      </c>
      <c r="AA112" s="477" t="s">
        <v>333</v>
      </c>
      <c r="AB112" s="438" t="s">
        <v>612</v>
      </c>
      <c r="AC112" s="439" t="str">
        <f t="shared" si="1"/>
        <v>神奈川県茅ヶ崎市</v>
      </c>
      <c r="AD112" s="460">
        <v>10.7</v>
      </c>
      <c r="AE112" s="438">
        <v>10.55</v>
      </c>
      <c r="AF112" s="459">
        <v>10.45</v>
      </c>
      <c r="AG112" s="417"/>
      <c r="AH112" s="417"/>
    </row>
    <row r="113" spans="22:34" ht="13.8" thickBot="1">
      <c r="V113" s="6" t="s">
        <v>2204</v>
      </c>
      <c r="W113" s="4" t="s">
        <v>613</v>
      </c>
      <c r="X113" s="2"/>
      <c r="Y113" s="435" t="s">
        <v>558</v>
      </c>
      <c r="Z113" s="436">
        <v>0.1</v>
      </c>
      <c r="AA113" s="477" t="s">
        <v>333</v>
      </c>
      <c r="AB113" s="438" t="s">
        <v>614</v>
      </c>
      <c r="AC113" s="439" t="str">
        <f t="shared" si="1"/>
        <v>神奈川県大和市</v>
      </c>
      <c r="AD113" s="460">
        <v>10.7</v>
      </c>
      <c r="AE113" s="438">
        <v>10.55</v>
      </c>
      <c r="AF113" s="459">
        <v>10.45</v>
      </c>
      <c r="AG113" s="417"/>
      <c r="AH113" s="417"/>
    </row>
    <row r="114" spans="22:34" ht="13.8" thickBot="1">
      <c r="V114" s="6" t="s">
        <v>2204</v>
      </c>
      <c r="W114" s="4" t="s">
        <v>615</v>
      </c>
      <c r="X114" s="2"/>
      <c r="Y114" s="435" t="s">
        <v>558</v>
      </c>
      <c r="Z114" s="436">
        <v>0.1</v>
      </c>
      <c r="AA114" s="477" t="s">
        <v>333</v>
      </c>
      <c r="AB114" s="438" t="s">
        <v>616</v>
      </c>
      <c r="AC114" s="439" t="str">
        <f t="shared" si="1"/>
        <v>神奈川県伊勢原市</v>
      </c>
      <c r="AD114" s="460">
        <v>10.7</v>
      </c>
      <c r="AE114" s="438">
        <v>10.55</v>
      </c>
      <c r="AF114" s="459">
        <v>10.45</v>
      </c>
      <c r="AG114" s="417"/>
      <c r="AH114" s="417"/>
    </row>
    <row r="115" spans="22:34" ht="13.8" thickBot="1">
      <c r="V115" s="6" t="s">
        <v>2204</v>
      </c>
      <c r="W115" s="4" t="s">
        <v>617</v>
      </c>
      <c r="X115" s="2"/>
      <c r="Y115" s="435" t="s">
        <v>558</v>
      </c>
      <c r="Z115" s="436">
        <v>0.1</v>
      </c>
      <c r="AA115" s="477" t="s">
        <v>333</v>
      </c>
      <c r="AB115" s="438" t="s">
        <v>618</v>
      </c>
      <c r="AC115" s="439" t="str">
        <f t="shared" si="1"/>
        <v>神奈川県座間市</v>
      </c>
      <c r="AD115" s="460">
        <v>10.7</v>
      </c>
      <c r="AE115" s="438">
        <v>10.55</v>
      </c>
      <c r="AF115" s="459">
        <v>10.45</v>
      </c>
      <c r="AG115" s="417"/>
      <c r="AH115" s="417"/>
    </row>
    <row r="116" spans="22:34" ht="13.8" thickBot="1">
      <c r="V116" s="6" t="s">
        <v>2204</v>
      </c>
      <c r="W116" s="4" t="s">
        <v>619</v>
      </c>
      <c r="X116" s="2"/>
      <c r="Y116" s="435" t="s">
        <v>558</v>
      </c>
      <c r="Z116" s="436">
        <v>0.1</v>
      </c>
      <c r="AA116" s="477" t="s">
        <v>333</v>
      </c>
      <c r="AB116" s="438" t="s">
        <v>620</v>
      </c>
      <c r="AC116" s="439" t="str">
        <f t="shared" si="1"/>
        <v>神奈川県綾瀬市</v>
      </c>
      <c r="AD116" s="460">
        <v>10.7</v>
      </c>
      <c r="AE116" s="438">
        <v>10.55</v>
      </c>
      <c r="AF116" s="459">
        <v>10.45</v>
      </c>
      <c r="AG116" s="417"/>
      <c r="AH116" s="417"/>
    </row>
    <row r="117" spans="22:34" ht="13.8" thickBot="1">
      <c r="V117" s="6" t="s">
        <v>2204</v>
      </c>
      <c r="W117" s="4" t="s">
        <v>621</v>
      </c>
      <c r="X117" s="2"/>
      <c r="Y117" s="435" t="s">
        <v>558</v>
      </c>
      <c r="Z117" s="436">
        <v>0.1</v>
      </c>
      <c r="AA117" s="477" t="s">
        <v>333</v>
      </c>
      <c r="AB117" s="438" t="s">
        <v>622</v>
      </c>
      <c r="AC117" s="439" t="str">
        <f t="shared" si="1"/>
        <v>神奈川県葉山町</v>
      </c>
      <c r="AD117" s="460">
        <v>10.7</v>
      </c>
      <c r="AE117" s="438">
        <v>10.55</v>
      </c>
      <c r="AF117" s="459">
        <v>10.45</v>
      </c>
      <c r="AG117" s="417"/>
      <c r="AH117" s="417"/>
    </row>
    <row r="118" spans="22:34" ht="13.8" thickBot="1">
      <c r="V118" s="6" t="s">
        <v>2204</v>
      </c>
      <c r="W118" s="4" t="s">
        <v>623</v>
      </c>
      <c r="X118" s="2"/>
      <c r="Y118" s="435" t="s">
        <v>558</v>
      </c>
      <c r="Z118" s="436">
        <v>0.1</v>
      </c>
      <c r="AA118" s="477" t="s">
        <v>333</v>
      </c>
      <c r="AB118" s="438" t="s">
        <v>624</v>
      </c>
      <c r="AC118" s="439" t="str">
        <f t="shared" si="1"/>
        <v>神奈川県寒川町</v>
      </c>
      <c r="AD118" s="460">
        <v>10.7</v>
      </c>
      <c r="AE118" s="438">
        <v>10.55</v>
      </c>
      <c r="AF118" s="459">
        <v>10.45</v>
      </c>
      <c r="AG118" s="417"/>
      <c r="AH118" s="417"/>
    </row>
    <row r="119" spans="22:34" ht="13.8" thickBot="1">
      <c r="V119" s="6" t="s">
        <v>2204</v>
      </c>
      <c r="W119" s="4" t="s">
        <v>625</v>
      </c>
      <c r="X119" s="2"/>
      <c r="Y119" s="435" t="s">
        <v>558</v>
      </c>
      <c r="Z119" s="436">
        <v>0.1</v>
      </c>
      <c r="AA119" s="477" t="s">
        <v>333</v>
      </c>
      <c r="AB119" s="438" t="s">
        <v>626</v>
      </c>
      <c r="AC119" s="439" t="str">
        <f t="shared" si="1"/>
        <v>神奈川県愛川町</v>
      </c>
      <c r="AD119" s="460">
        <v>10.7</v>
      </c>
      <c r="AE119" s="438">
        <v>10.55</v>
      </c>
      <c r="AF119" s="459">
        <v>10.45</v>
      </c>
      <c r="AG119" s="417"/>
      <c r="AH119" s="417"/>
    </row>
    <row r="120" spans="22:34" ht="13.8" thickBot="1">
      <c r="V120" s="6" t="s">
        <v>2204</v>
      </c>
      <c r="W120" s="4" t="s">
        <v>627</v>
      </c>
      <c r="X120" s="2"/>
      <c r="Y120" s="435" t="s">
        <v>558</v>
      </c>
      <c r="Z120" s="436">
        <v>0.1</v>
      </c>
      <c r="AA120" s="477" t="s">
        <v>628</v>
      </c>
      <c r="AB120" s="438" t="s">
        <v>629</v>
      </c>
      <c r="AC120" s="439" t="str">
        <f t="shared" si="1"/>
        <v>愛知県知立市</v>
      </c>
      <c r="AD120" s="460">
        <v>10.7</v>
      </c>
      <c r="AE120" s="438">
        <v>10.55</v>
      </c>
      <c r="AF120" s="459">
        <v>10.45</v>
      </c>
      <c r="AG120" s="417"/>
      <c r="AH120" s="417"/>
    </row>
    <row r="121" spans="22:34" ht="13.8" thickBot="1">
      <c r="V121" s="6" t="s">
        <v>2204</v>
      </c>
      <c r="W121" s="4" t="s">
        <v>630</v>
      </c>
      <c r="X121" s="2"/>
      <c r="Y121" s="435" t="s">
        <v>558</v>
      </c>
      <c r="Z121" s="436">
        <v>0.1</v>
      </c>
      <c r="AA121" s="477" t="s">
        <v>628</v>
      </c>
      <c r="AB121" s="438" t="s">
        <v>631</v>
      </c>
      <c r="AC121" s="439" t="str">
        <f t="shared" si="1"/>
        <v>愛知県豊明市</v>
      </c>
      <c r="AD121" s="460">
        <v>10.7</v>
      </c>
      <c r="AE121" s="438">
        <v>10.55</v>
      </c>
      <c r="AF121" s="459">
        <v>10.45</v>
      </c>
      <c r="AG121" s="417"/>
      <c r="AH121" s="417"/>
    </row>
    <row r="122" spans="22:34" ht="13.8" thickBot="1">
      <c r="V122" s="6" t="s">
        <v>2204</v>
      </c>
      <c r="W122" s="4" t="s">
        <v>632</v>
      </c>
      <c r="X122" s="2"/>
      <c r="Y122" s="435" t="s">
        <v>558</v>
      </c>
      <c r="Z122" s="436">
        <v>0.1</v>
      </c>
      <c r="AA122" s="477" t="s">
        <v>628</v>
      </c>
      <c r="AB122" s="438" t="s">
        <v>633</v>
      </c>
      <c r="AC122" s="439" t="str">
        <f t="shared" si="1"/>
        <v>愛知県みよし市</v>
      </c>
      <c r="AD122" s="460">
        <v>10.7</v>
      </c>
      <c r="AE122" s="438">
        <v>10.55</v>
      </c>
      <c r="AF122" s="459">
        <v>10.45</v>
      </c>
      <c r="AG122" s="417"/>
      <c r="AH122" s="417"/>
    </row>
    <row r="123" spans="22:34" ht="13.8" thickBot="1">
      <c r="V123" s="6" t="s">
        <v>2204</v>
      </c>
      <c r="W123" s="4" t="s">
        <v>634</v>
      </c>
      <c r="X123" s="2"/>
      <c r="Y123" s="435" t="s">
        <v>558</v>
      </c>
      <c r="Z123" s="436">
        <v>0.1</v>
      </c>
      <c r="AA123" s="477" t="s">
        <v>380</v>
      </c>
      <c r="AB123" s="438" t="s">
        <v>635</v>
      </c>
      <c r="AC123" s="439" t="str">
        <f t="shared" si="1"/>
        <v>滋賀県大津市</v>
      </c>
      <c r="AD123" s="460">
        <v>10.7</v>
      </c>
      <c r="AE123" s="438">
        <v>10.55</v>
      </c>
      <c r="AF123" s="459">
        <v>10.45</v>
      </c>
      <c r="AG123" s="417"/>
      <c r="AH123" s="417"/>
    </row>
    <row r="124" spans="22:34" ht="13.8" thickBot="1">
      <c r="V124" s="6" t="s">
        <v>2204</v>
      </c>
      <c r="W124" s="4" t="s">
        <v>636</v>
      </c>
      <c r="X124" s="2"/>
      <c r="Y124" s="435" t="s">
        <v>558</v>
      </c>
      <c r="Z124" s="436">
        <v>0.1</v>
      </c>
      <c r="AA124" s="477" t="s">
        <v>380</v>
      </c>
      <c r="AB124" s="438" t="s">
        <v>637</v>
      </c>
      <c r="AC124" s="439" t="str">
        <f t="shared" si="1"/>
        <v>滋賀県草津市</v>
      </c>
      <c r="AD124" s="460">
        <v>10.7</v>
      </c>
      <c r="AE124" s="438">
        <v>10.55</v>
      </c>
      <c r="AF124" s="459">
        <v>10.45</v>
      </c>
      <c r="AG124" s="417"/>
      <c r="AH124" s="417"/>
    </row>
    <row r="125" spans="22:34" ht="13.8" thickBot="1">
      <c r="V125" s="6" t="s">
        <v>2204</v>
      </c>
      <c r="W125" s="4" t="s">
        <v>638</v>
      </c>
      <c r="X125" s="2"/>
      <c r="Y125" s="435" t="s">
        <v>558</v>
      </c>
      <c r="Z125" s="436">
        <v>0.1</v>
      </c>
      <c r="AA125" s="477" t="s">
        <v>380</v>
      </c>
      <c r="AB125" s="438" t="s">
        <v>639</v>
      </c>
      <c r="AC125" s="439" t="str">
        <f t="shared" si="1"/>
        <v>滋賀県栗東市</v>
      </c>
      <c r="AD125" s="460">
        <v>10.7</v>
      </c>
      <c r="AE125" s="438">
        <v>10.55</v>
      </c>
      <c r="AF125" s="459">
        <v>10.45</v>
      </c>
      <c r="AG125" s="417"/>
      <c r="AH125" s="417"/>
    </row>
    <row r="126" spans="22:34" ht="13.8" thickBot="1">
      <c r="V126" s="6" t="s">
        <v>2204</v>
      </c>
      <c r="W126" s="4" t="s">
        <v>640</v>
      </c>
      <c r="X126" s="2"/>
      <c r="Y126" s="435" t="s">
        <v>558</v>
      </c>
      <c r="Z126" s="436">
        <v>0.1</v>
      </c>
      <c r="AA126" s="477" t="s">
        <v>384</v>
      </c>
      <c r="AB126" s="438" t="s">
        <v>641</v>
      </c>
      <c r="AC126" s="439" t="str">
        <f t="shared" si="1"/>
        <v>京都府京都市</v>
      </c>
      <c r="AD126" s="460">
        <v>10.7</v>
      </c>
      <c r="AE126" s="438">
        <v>10.55</v>
      </c>
      <c r="AF126" s="459">
        <v>10.45</v>
      </c>
      <c r="AG126" s="417"/>
      <c r="AH126" s="417"/>
    </row>
    <row r="127" spans="22:34" ht="13.8" thickBot="1">
      <c r="V127" s="6" t="s">
        <v>2204</v>
      </c>
      <c r="W127" s="4" t="s">
        <v>642</v>
      </c>
      <c r="X127" s="2"/>
      <c r="Y127" s="435" t="s">
        <v>558</v>
      </c>
      <c r="Z127" s="436">
        <v>0.1</v>
      </c>
      <c r="AA127" s="477" t="s">
        <v>384</v>
      </c>
      <c r="AB127" s="438" t="s">
        <v>643</v>
      </c>
      <c r="AC127" s="439" t="str">
        <f t="shared" si="1"/>
        <v>京都府長岡京市</v>
      </c>
      <c r="AD127" s="460">
        <v>10.7</v>
      </c>
      <c r="AE127" s="438">
        <v>10.55</v>
      </c>
      <c r="AF127" s="459">
        <v>10.45</v>
      </c>
      <c r="AG127" s="417"/>
      <c r="AH127" s="417"/>
    </row>
    <row r="128" spans="22:34" ht="13.8" thickBot="1">
      <c r="V128" s="6" t="s">
        <v>2204</v>
      </c>
      <c r="W128" s="4" t="s">
        <v>644</v>
      </c>
      <c r="X128" s="2"/>
      <c r="Y128" s="435" t="s">
        <v>558</v>
      </c>
      <c r="Z128" s="436">
        <v>0.1</v>
      </c>
      <c r="AA128" s="477" t="s">
        <v>388</v>
      </c>
      <c r="AB128" s="438" t="s">
        <v>645</v>
      </c>
      <c r="AC128" s="439" t="str">
        <f t="shared" si="1"/>
        <v>大阪府堺市</v>
      </c>
      <c r="AD128" s="460">
        <v>10.7</v>
      </c>
      <c r="AE128" s="438">
        <v>10.55</v>
      </c>
      <c r="AF128" s="459">
        <v>10.45</v>
      </c>
      <c r="AG128" s="417"/>
      <c r="AH128" s="417"/>
    </row>
    <row r="129" spans="22:34" ht="13.8" thickBot="1">
      <c r="V129" s="6" t="s">
        <v>2204</v>
      </c>
      <c r="W129" s="4" t="s">
        <v>646</v>
      </c>
      <c r="X129" s="2"/>
      <c r="Y129" s="435" t="s">
        <v>558</v>
      </c>
      <c r="Z129" s="436">
        <v>0.1</v>
      </c>
      <c r="AA129" s="477" t="s">
        <v>388</v>
      </c>
      <c r="AB129" s="438" t="s">
        <v>647</v>
      </c>
      <c r="AC129" s="439" t="str">
        <f t="shared" si="1"/>
        <v>大阪府枚方市</v>
      </c>
      <c r="AD129" s="460">
        <v>10.7</v>
      </c>
      <c r="AE129" s="438">
        <v>10.55</v>
      </c>
      <c r="AF129" s="459">
        <v>10.45</v>
      </c>
      <c r="AG129" s="417"/>
      <c r="AH129" s="417"/>
    </row>
    <row r="130" spans="22:34" ht="13.8" thickBot="1">
      <c r="V130" s="6" t="s">
        <v>2204</v>
      </c>
      <c r="W130" s="4" t="s">
        <v>648</v>
      </c>
      <c r="X130" s="2"/>
      <c r="Y130" s="435" t="s">
        <v>558</v>
      </c>
      <c r="Z130" s="436">
        <v>0.1</v>
      </c>
      <c r="AA130" s="477" t="s">
        <v>388</v>
      </c>
      <c r="AB130" s="438" t="s">
        <v>649</v>
      </c>
      <c r="AC130" s="439" t="str">
        <f t="shared" si="1"/>
        <v>大阪府茨木市</v>
      </c>
      <c r="AD130" s="460">
        <v>10.7</v>
      </c>
      <c r="AE130" s="438">
        <v>10.55</v>
      </c>
      <c r="AF130" s="459">
        <v>10.45</v>
      </c>
      <c r="AG130" s="417"/>
      <c r="AH130" s="417"/>
    </row>
    <row r="131" spans="22:34" ht="13.8" thickBot="1">
      <c r="V131" s="6" t="s">
        <v>2204</v>
      </c>
      <c r="W131" s="4" t="s">
        <v>650</v>
      </c>
      <c r="X131" s="2"/>
      <c r="Y131" s="435" t="s">
        <v>558</v>
      </c>
      <c r="Z131" s="436">
        <v>0.1</v>
      </c>
      <c r="AA131" s="477" t="s">
        <v>388</v>
      </c>
      <c r="AB131" s="438" t="s">
        <v>651</v>
      </c>
      <c r="AC131" s="439" t="str">
        <f t="shared" si="1"/>
        <v>大阪府八尾市</v>
      </c>
      <c r="AD131" s="460">
        <v>10.7</v>
      </c>
      <c r="AE131" s="438">
        <v>10.55</v>
      </c>
      <c r="AF131" s="459">
        <v>10.45</v>
      </c>
      <c r="AG131" s="417"/>
      <c r="AH131" s="417"/>
    </row>
    <row r="132" spans="22:34" ht="13.8" thickBot="1">
      <c r="V132" s="6" t="s">
        <v>2204</v>
      </c>
      <c r="W132" s="4" t="s">
        <v>652</v>
      </c>
      <c r="X132" s="2"/>
      <c r="Y132" s="435" t="s">
        <v>558</v>
      </c>
      <c r="Z132" s="436">
        <v>0.1</v>
      </c>
      <c r="AA132" s="477" t="s">
        <v>388</v>
      </c>
      <c r="AB132" s="438" t="s">
        <v>653</v>
      </c>
      <c r="AC132" s="439" t="str">
        <f t="shared" ref="AC132:AC195" si="2">AA132&amp;AB132</f>
        <v>大阪府松原市</v>
      </c>
      <c r="AD132" s="460">
        <v>10.7</v>
      </c>
      <c r="AE132" s="438">
        <v>10.55</v>
      </c>
      <c r="AF132" s="459">
        <v>10.45</v>
      </c>
      <c r="AG132" s="417"/>
      <c r="AH132" s="417"/>
    </row>
    <row r="133" spans="22:34" ht="13.8" thickBot="1">
      <c r="V133" s="6" t="s">
        <v>2204</v>
      </c>
      <c r="W133" s="4" t="s">
        <v>654</v>
      </c>
      <c r="X133" s="2"/>
      <c r="Y133" s="435" t="s">
        <v>558</v>
      </c>
      <c r="Z133" s="436">
        <v>0.1</v>
      </c>
      <c r="AA133" s="477" t="s">
        <v>388</v>
      </c>
      <c r="AB133" s="438" t="s">
        <v>655</v>
      </c>
      <c r="AC133" s="439" t="str">
        <f t="shared" si="2"/>
        <v>大阪府摂津市</v>
      </c>
      <c r="AD133" s="460">
        <v>10.7</v>
      </c>
      <c r="AE133" s="438">
        <v>10.55</v>
      </c>
      <c r="AF133" s="459">
        <v>10.45</v>
      </c>
      <c r="AG133" s="417"/>
      <c r="AH133" s="417"/>
    </row>
    <row r="134" spans="22:34" ht="13.8" thickBot="1">
      <c r="V134" s="6" t="s">
        <v>2204</v>
      </c>
      <c r="W134" s="4" t="s">
        <v>656</v>
      </c>
      <c r="X134" s="2"/>
      <c r="Y134" s="435" t="s">
        <v>558</v>
      </c>
      <c r="Z134" s="436">
        <v>0.1</v>
      </c>
      <c r="AA134" s="477" t="s">
        <v>388</v>
      </c>
      <c r="AB134" s="438" t="s">
        <v>657</v>
      </c>
      <c r="AC134" s="439" t="str">
        <f t="shared" si="2"/>
        <v>大阪府高石市</v>
      </c>
      <c r="AD134" s="460">
        <v>10.7</v>
      </c>
      <c r="AE134" s="438">
        <v>10.55</v>
      </c>
      <c r="AF134" s="459">
        <v>10.45</v>
      </c>
      <c r="AG134" s="417"/>
      <c r="AH134" s="417"/>
    </row>
    <row r="135" spans="22:34" ht="13.8" thickBot="1">
      <c r="V135" s="6" t="s">
        <v>2204</v>
      </c>
      <c r="W135" s="4" t="s">
        <v>658</v>
      </c>
      <c r="X135" s="2"/>
      <c r="Y135" s="435" t="s">
        <v>558</v>
      </c>
      <c r="Z135" s="436">
        <v>0.1</v>
      </c>
      <c r="AA135" s="477" t="s">
        <v>388</v>
      </c>
      <c r="AB135" s="438" t="s">
        <v>659</v>
      </c>
      <c r="AC135" s="439" t="str">
        <f t="shared" si="2"/>
        <v>大阪府東大阪市</v>
      </c>
      <c r="AD135" s="460">
        <v>10.7</v>
      </c>
      <c r="AE135" s="438">
        <v>10.55</v>
      </c>
      <c r="AF135" s="459">
        <v>10.45</v>
      </c>
      <c r="AG135" s="417"/>
      <c r="AH135" s="417"/>
    </row>
    <row r="136" spans="22:34" ht="13.8" thickBot="1">
      <c r="V136" s="6" t="s">
        <v>2204</v>
      </c>
      <c r="W136" s="4" t="s">
        <v>660</v>
      </c>
      <c r="X136" s="2"/>
      <c r="Y136" s="435" t="s">
        <v>558</v>
      </c>
      <c r="Z136" s="436">
        <v>0.1</v>
      </c>
      <c r="AA136" s="477" t="s">
        <v>388</v>
      </c>
      <c r="AB136" s="438" t="s">
        <v>661</v>
      </c>
      <c r="AC136" s="439" t="str">
        <f t="shared" si="2"/>
        <v>大阪府交野市</v>
      </c>
      <c r="AD136" s="460">
        <v>10.7</v>
      </c>
      <c r="AE136" s="438">
        <v>10.55</v>
      </c>
      <c r="AF136" s="459">
        <v>10.45</v>
      </c>
      <c r="AG136" s="417"/>
      <c r="AH136" s="417"/>
    </row>
    <row r="137" spans="22:34" ht="13.8" thickBot="1">
      <c r="V137" s="6" t="s">
        <v>2204</v>
      </c>
      <c r="W137" s="4" t="s">
        <v>662</v>
      </c>
      <c r="X137" s="2"/>
      <c r="Y137" s="435" t="s">
        <v>558</v>
      </c>
      <c r="Z137" s="436">
        <v>0.1</v>
      </c>
      <c r="AA137" s="477" t="s">
        <v>392</v>
      </c>
      <c r="AB137" s="438" t="s">
        <v>663</v>
      </c>
      <c r="AC137" s="439" t="str">
        <f t="shared" si="2"/>
        <v>兵庫県尼崎市</v>
      </c>
      <c r="AD137" s="460">
        <v>10.7</v>
      </c>
      <c r="AE137" s="438">
        <v>10.55</v>
      </c>
      <c r="AF137" s="459">
        <v>10.45</v>
      </c>
      <c r="AG137" s="417"/>
      <c r="AH137" s="417"/>
    </row>
    <row r="138" spans="22:34" ht="13.8" thickBot="1">
      <c r="V138" s="6" t="s">
        <v>2204</v>
      </c>
      <c r="W138" s="4" t="s">
        <v>664</v>
      </c>
      <c r="X138" s="2"/>
      <c r="Y138" s="435" t="s">
        <v>558</v>
      </c>
      <c r="Z138" s="436">
        <v>0.1</v>
      </c>
      <c r="AA138" s="477" t="s">
        <v>392</v>
      </c>
      <c r="AB138" s="438" t="s">
        <v>665</v>
      </c>
      <c r="AC138" s="439" t="str">
        <f t="shared" si="2"/>
        <v>兵庫県伊丹市</v>
      </c>
      <c r="AD138" s="460">
        <v>10.7</v>
      </c>
      <c r="AE138" s="438">
        <v>10.55</v>
      </c>
      <c r="AF138" s="459">
        <v>10.45</v>
      </c>
      <c r="AG138" s="417"/>
      <c r="AH138" s="417"/>
    </row>
    <row r="139" spans="22:34" ht="13.8" thickBot="1">
      <c r="V139" s="6" t="s">
        <v>2204</v>
      </c>
      <c r="W139" s="4" t="s">
        <v>666</v>
      </c>
      <c r="X139" s="2"/>
      <c r="Y139" s="435" t="s">
        <v>558</v>
      </c>
      <c r="Z139" s="436">
        <v>0.1</v>
      </c>
      <c r="AA139" s="477" t="s">
        <v>392</v>
      </c>
      <c r="AB139" s="438" t="s">
        <v>667</v>
      </c>
      <c r="AC139" s="439" t="str">
        <f t="shared" si="2"/>
        <v>兵庫県川西市</v>
      </c>
      <c r="AD139" s="460">
        <v>10.7</v>
      </c>
      <c r="AE139" s="438">
        <v>10.55</v>
      </c>
      <c r="AF139" s="459">
        <v>10.45</v>
      </c>
      <c r="AG139" s="417"/>
      <c r="AH139" s="417"/>
    </row>
    <row r="140" spans="22:34" ht="13.8" thickBot="1">
      <c r="V140" s="6" t="s">
        <v>2204</v>
      </c>
      <c r="W140" s="4" t="s">
        <v>668</v>
      </c>
      <c r="X140" s="2"/>
      <c r="Y140" s="435" t="s">
        <v>558</v>
      </c>
      <c r="Z140" s="436">
        <v>0.1</v>
      </c>
      <c r="AA140" s="477" t="s">
        <v>392</v>
      </c>
      <c r="AB140" s="438" t="s">
        <v>669</v>
      </c>
      <c r="AC140" s="439" t="str">
        <f t="shared" si="2"/>
        <v>兵庫県三田市</v>
      </c>
      <c r="AD140" s="460">
        <v>10.7</v>
      </c>
      <c r="AE140" s="438">
        <v>10.55</v>
      </c>
      <c r="AF140" s="459">
        <v>10.45</v>
      </c>
      <c r="AG140" s="417"/>
      <c r="AH140" s="417"/>
    </row>
    <row r="141" spans="22:34" ht="13.8" thickBot="1">
      <c r="V141" s="6" t="s">
        <v>2204</v>
      </c>
      <c r="W141" s="4" t="s">
        <v>670</v>
      </c>
      <c r="X141" s="2"/>
      <c r="Y141" s="435" t="s">
        <v>558</v>
      </c>
      <c r="Z141" s="436">
        <v>0.1</v>
      </c>
      <c r="AA141" s="477" t="s">
        <v>421</v>
      </c>
      <c r="AB141" s="438" t="s">
        <v>671</v>
      </c>
      <c r="AC141" s="439" t="str">
        <f t="shared" si="2"/>
        <v>広島県広島市</v>
      </c>
      <c r="AD141" s="460">
        <v>10.7</v>
      </c>
      <c r="AE141" s="438">
        <v>10.55</v>
      </c>
      <c r="AF141" s="459">
        <v>10.45</v>
      </c>
      <c r="AG141" s="417"/>
      <c r="AH141" s="417"/>
    </row>
    <row r="142" spans="22:34" ht="13.8" thickBot="1">
      <c r="V142" s="6" t="s">
        <v>2204</v>
      </c>
      <c r="W142" s="4" t="s">
        <v>672</v>
      </c>
      <c r="X142" s="2"/>
      <c r="Y142" s="435" t="s">
        <v>558</v>
      </c>
      <c r="Z142" s="436">
        <v>0.1</v>
      </c>
      <c r="AA142" s="477" t="s">
        <v>421</v>
      </c>
      <c r="AB142" s="438" t="s">
        <v>673</v>
      </c>
      <c r="AC142" s="439" t="str">
        <f t="shared" si="2"/>
        <v>広島県府中町</v>
      </c>
      <c r="AD142" s="460">
        <v>10.7</v>
      </c>
      <c r="AE142" s="438">
        <v>10.55</v>
      </c>
      <c r="AF142" s="459">
        <v>10.45</v>
      </c>
      <c r="AG142" s="417"/>
      <c r="AH142" s="417"/>
    </row>
    <row r="143" spans="22:34" ht="13.8" thickBot="1">
      <c r="V143" s="6" t="s">
        <v>2204</v>
      </c>
      <c r="W143" s="4" t="s">
        <v>674</v>
      </c>
      <c r="X143" s="2"/>
      <c r="Y143" s="435" t="s">
        <v>558</v>
      </c>
      <c r="Z143" s="436">
        <v>0.1</v>
      </c>
      <c r="AA143" s="477" t="s">
        <v>446</v>
      </c>
      <c r="AB143" s="438" t="s">
        <v>675</v>
      </c>
      <c r="AC143" s="439" t="str">
        <f t="shared" si="2"/>
        <v>福岡県福岡市</v>
      </c>
      <c r="AD143" s="460">
        <v>10.7</v>
      </c>
      <c r="AE143" s="438">
        <v>10.55</v>
      </c>
      <c r="AF143" s="459">
        <v>10.45</v>
      </c>
      <c r="AG143" s="417"/>
      <c r="AH143" s="417"/>
    </row>
    <row r="144" spans="22:34" ht="13.8" thickBot="1">
      <c r="V144" s="6" t="s">
        <v>2204</v>
      </c>
      <c r="W144" s="4" t="s">
        <v>676</v>
      </c>
      <c r="X144" s="2"/>
      <c r="Y144" s="444" t="s">
        <v>558</v>
      </c>
      <c r="Z144" s="445">
        <v>0.1</v>
      </c>
      <c r="AA144" s="478" t="s">
        <v>446</v>
      </c>
      <c r="AB144" s="447" t="s">
        <v>677</v>
      </c>
      <c r="AC144" s="448" t="str">
        <f t="shared" si="2"/>
        <v>福岡県春日市</v>
      </c>
      <c r="AD144" s="466">
        <v>10.7</v>
      </c>
      <c r="AE144" s="447">
        <v>10.55</v>
      </c>
      <c r="AF144" s="467">
        <v>10.45</v>
      </c>
      <c r="AG144" s="417"/>
      <c r="AH144" s="417"/>
    </row>
    <row r="145" spans="22:34" ht="13.8" thickBot="1">
      <c r="V145" s="6" t="s">
        <v>2204</v>
      </c>
      <c r="W145" s="4" t="s">
        <v>678</v>
      </c>
      <c r="X145" s="2"/>
      <c r="Y145" s="452" t="s">
        <v>679</v>
      </c>
      <c r="Z145" s="453">
        <v>0.06</v>
      </c>
      <c r="AA145" s="480" t="s">
        <v>290</v>
      </c>
      <c r="AB145" s="455" t="s">
        <v>680</v>
      </c>
      <c r="AC145" s="456" t="str">
        <f t="shared" si="2"/>
        <v>宮城県仙台市</v>
      </c>
      <c r="AD145" s="479">
        <v>10.42</v>
      </c>
      <c r="AE145" s="455">
        <v>10.33</v>
      </c>
      <c r="AF145" s="456">
        <v>10.27</v>
      </c>
      <c r="AG145" s="417"/>
      <c r="AH145" s="417"/>
    </row>
    <row r="146" spans="22:34" ht="13.8" thickBot="1">
      <c r="V146" s="6" t="s">
        <v>2204</v>
      </c>
      <c r="W146" s="4" t="s">
        <v>681</v>
      </c>
      <c r="X146" s="2"/>
      <c r="Y146" s="435" t="s">
        <v>679</v>
      </c>
      <c r="Z146" s="436">
        <v>0.06</v>
      </c>
      <c r="AA146" s="477" t="s">
        <v>290</v>
      </c>
      <c r="AB146" s="438" t="s">
        <v>682</v>
      </c>
      <c r="AC146" s="459" t="str">
        <f t="shared" si="2"/>
        <v>宮城県多賀城市</v>
      </c>
      <c r="AD146" s="460">
        <v>10.42</v>
      </c>
      <c r="AE146" s="438">
        <v>10.33</v>
      </c>
      <c r="AF146" s="459">
        <v>10.27</v>
      </c>
      <c r="AG146" s="417"/>
      <c r="AH146" s="417"/>
    </row>
    <row r="147" spans="22:34" ht="13.8" thickBot="1">
      <c r="V147" s="6" t="s">
        <v>2204</v>
      </c>
      <c r="W147" s="4" t="s">
        <v>683</v>
      </c>
      <c r="X147" s="2"/>
      <c r="Y147" s="435" t="s">
        <v>679</v>
      </c>
      <c r="Z147" s="436">
        <v>0.06</v>
      </c>
      <c r="AA147" s="477" t="s">
        <v>308</v>
      </c>
      <c r="AB147" s="438" t="s">
        <v>684</v>
      </c>
      <c r="AC147" s="459" t="str">
        <f t="shared" si="2"/>
        <v>茨城県土浦市</v>
      </c>
      <c r="AD147" s="460">
        <v>10.42</v>
      </c>
      <c r="AE147" s="438">
        <v>10.33</v>
      </c>
      <c r="AF147" s="459">
        <v>10.27</v>
      </c>
      <c r="AG147" s="417"/>
      <c r="AH147" s="417"/>
    </row>
    <row r="148" spans="22:34" ht="13.8" thickBot="1">
      <c r="V148" s="6" t="s">
        <v>2204</v>
      </c>
      <c r="W148" s="4" t="s">
        <v>685</v>
      </c>
      <c r="X148" s="2"/>
      <c r="Y148" s="435" t="s">
        <v>679</v>
      </c>
      <c r="Z148" s="436">
        <v>0.06</v>
      </c>
      <c r="AA148" s="477" t="s">
        <v>308</v>
      </c>
      <c r="AB148" s="438" t="s">
        <v>686</v>
      </c>
      <c r="AC148" s="459" t="str">
        <f t="shared" si="2"/>
        <v>茨城県古河市</v>
      </c>
      <c r="AD148" s="460">
        <v>10.42</v>
      </c>
      <c r="AE148" s="438">
        <v>10.33</v>
      </c>
      <c r="AF148" s="459">
        <v>10.27</v>
      </c>
      <c r="AG148" s="417"/>
      <c r="AH148" s="417"/>
    </row>
    <row r="149" spans="22:34" ht="13.8" thickBot="1">
      <c r="V149" s="6" t="s">
        <v>2204</v>
      </c>
      <c r="W149" s="4" t="s">
        <v>687</v>
      </c>
      <c r="X149" s="2"/>
      <c r="Y149" s="435" t="s">
        <v>679</v>
      </c>
      <c r="Z149" s="436">
        <v>0.06</v>
      </c>
      <c r="AA149" s="477" t="s">
        <v>308</v>
      </c>
      <c r="AB149" s="438" t="s">
        <v>688</v>
      </c>
      <c r="AC149" s="459" t="str">
        <f t="shared" si="2"/>
        <v>茨城県利根町</v>
      </c>
      <c r="AD149" s="460">
        <v>10.42</v>
      </c>
      <c r="AE149" s="438">
        <v>10.33</v>
      </c>
      <c r="AF149" s="459">
        <v>10.27</v>
      </c>
      <c r="AG149" s="417"/>
      <c r="AH149" s="417"/>
    </row>
    <row r="150" spans="22:34" ht="13.8" thickBot="1">
      <c r="V150" s="6" t="s">
        <v>2204</v>
      </c>
      <c r="W150" s="4" t="s">
        <v>689</v>
      </c>
      <c r="X150" s="2"/>
      <c r="Y150" s="435" t="s">
        <v>679</v>
      </c>
      <c r="Z150" s="436">
        <v>0.06</v>
      </c>
      <c r="AA150" s="477" t="s">
        <v>312</v>
      </c>
      <c r="AB150" s="438" t="s">
        <v>690</v>
      </c>
      <c r="AC150" s="459" t="str">
        <f t="shared" si="2"/>
        <v>栃木県宇都宮市</v>
      </c>
      <c r="AD150" s="460">
        <v>10.42</v>
      </c>
      <c r="AE150" s="438">
        <v>10.33</v>
      </c>
      <c r="AF150" s="459">
        <v>10.27</v>
      </c>
      <c r="AG150" s="417"/>
      <c r="AH150" s="417"/>
    </row>
    <row r="151" spans="22:34" ht="13.8" thickBot="1">
      <c r="V151" s="6" t="s">
        <v>2204</v>
      </c>
      <c r="W151" s="4" t="s">
        <v>691</v>
      </c>
      <c r="X151" s="2"/>
      <c r="Y151" s="435" t="s">
        <v>679</v>
      </c>
      <c r="Z151" s="436">
        <v>0.06</v>
      </c>
      <c r="AA151" s="477" t="s">
        <v>312</v>
      </c>
      <c r="AB151" s="438" t="s">
        <v>692</v>
      </c>
      <c r="AC151" s="459" t="str">
        <f t="shared" si="2"/>
        <v>栃木県野木町</v>
      </c>
      <c r="AD151" s="460">
        <v>10.42</v>
      </c>
      <c r="AE151" s="438">
        <v>10.33</v>
      </c>
      <c r="AF151" s="459">
        <v>10.27</v>
      </c>
      <c r="AG151" s="417"/>
      <c r="AH151" s="417"/>
    </row>
    <row r="152" spans="22:34" ht="13.8" thickBot="1">
      <c r="V152" s="6" t="s">
        <v>2204</v>
      </c>
      <c r="W152" s="4" t="s">
        <v>693</v>
      </c>
      <c r="X152" s="2"/>
      <c r="Y152" s="435" t="s">
        <v>679</v>
      </c>
      <c r="Z152" s="436">
        <v>0.06</v>
      </c>
      <c r="AA152" s="477" t="s">
        <v>316</v>
      </c>
      <c r="AB152" s="438" t="s">
        <v>694</v>
      </c>
      <c r="AC152" s="459" t="str">
        <f t="shared" si="2"/>
        <v>群馬県高崎市</v>
      </c>
      <c r="AD152" s="460">
        <v>10.42</v>
      </c>
      <c r="AE152" s="438">
        <v>10.33</v>
      </c>
      <c r="AF152" s="459">
        <v>10.27</v>
      </c>
      <c r="AG152" s="417"/>
      <c r="AH152" s="417"/>
    </row>
    <row r="153" spans="22:34" ht="13.8" thickBot="1">
      <c r="V153" s="6" t="s">
        <v>2204</v>
      </c>
      <c r="W153" s="4" t="s">
        <v>695</v>
      </c>
      <c r="X153" s="2"/>
      <c r="Y153" s="435" t="s">
        <v>679</v>
      </c>
      <c r="Z153" s="436">
        <v>0.06</v>
      </c>
      <c r="AA153" s="477" t="s">
        <v>321</v>
      </c>
      <c r="AB153" s="438" t="s">
        <v>696</v>
      </c>
      <c r="AC153" s="459" t="str">
        <f t="shared" si="2"/>
        <v>埼玉県川越市</v>
      </c>
      <c r="AD153" s="460">
        <v>10.42</v>
      </c>
      <c r="AE153" s="438">
        <v>10.33</v>
      </c>
      <c r="AF153" s="459">
        <v>10.27</v>
      </c>
      <c r="AG153" s="417"/>
      <c r="AH153" s="417"/>
    </row>
    <row r="154" spans="22:34" ht="13.8" thickBot="1">
      <c r="V154" s="6" t="s">
        <v>2204</v>
      </c>
      <c r="W154" s="4" t="s">
        <v>697</v>
      </c>
      <c r="X154" s="2"/>
      <c r="Y154" s="435" t="s">
        <v>679</v>
      </c>
      <c r="Z154" s="436">
        <v>0.06</v>
      </c>
      <c r="AA154" s="477" t="s">
        <v>321</v>
      </c>
      <c r="AB154" s="438" t="s">
        <v>698</v>
      </c>
      <c r="AC154" s="459" t="str">
        <f t="shared" si="2"/>
        <v>埼玉県行田市</v>
      </c>
      <c r="AD154" s="460">
        <v>10.42</v>
      </c>
      <c r="AE154" s="438">
        <v>10.33</v>
      </c>
      <c r="AF154" s="459">
        <v>10.27</v>
      </c>
      <c r="AG154" s="417"/>
      <c r="AH154" s="417"/>
    </row>
    <row r="155" spans="22:34" ht="13.8" thickBot="1">
      <c r="V155" s="6" t="s">
        <v>2204</v>
      </c>
      <c r="W155" s="4" t="s">
        <v>699</v>
      </c>
      <c r="X155" s="2"/>
      <c r="Y155" s="435" t="s">
        <v>679</v>
      </c>
      <c r="Z155" s="436">
        <v>0.06</v>
      </c>
      <c r="AA155" s="477" t="s">
        <v>321</v>
      </c>
      <c r="AB155" s="438" t="s">
        <v>700</v>
      </c>
      <c r="AC155" s="459" t="str">
        <f t="shared" si="2"/>
        <v>埼玉県所沢市</v>
      </c>
      <c r="AD155" s="460">
        <v>10.42</v>
      </c>
      <c r="AE155" s="438">
        <v>10.33</v>
      </c>
      <c r="AF155" s="459">
        <v>10.27</v>
      </c>
      <c r="AG155" s="417"/>
      <c r="AH155" s="417"/>
    </row>
    <row r="156" spans="22:34" ht="13.8" thickBot="1">
      <c r="V156" s="6" t="s">
        <v>2204</v>
      </c>
      <c r="W156" s="4" t="s">
        <v>701</v>
      </c>
      <c r="X156" s="2"/>
      <c r="Y156" s="435" t="s">
        <v>679</v>
      </c>
      <c r="Z156" s="436">
        <v>0.06</v>
      </c>
      <c r="AA156" s="477" t="s">
        <v>321</v>
      </c>
      <c r="AB156" s="438" t="s">
        <v>702</v>
      </c>
      <c r="AC156" s="459" t="str">
        <f t="shared" si="2"/>
        <v>埼玉県飯能市</v>
      </c>
      <c r="AD156" s="460">
        <v>10.42</v>
      </c>
      <c r="AE156" s="438">
        <v>10.33</v>
      </c>
      <c r="AF156" s="459">
        <v>10.27</v>
      </c>
      <c r="AG156" s="417"/>
      <c r="AH156" s="417"/>
    </row>
    <row r="157" spans="22:34" ht="13.8" thickBot="1">
      <c r="V157" s="6" t="s">
        <v>2204</v>
      </c>
      <c r="W157" s="4" t="s">
        <v>703</v>
      </c>
      <c r="X157" s="2"/>
      <c r="Y157" s="435" t="s">
        <v>679</v>
      </c>
      <c r="Z157" s="436">
        <v>0.06</v>
      </c>
      <c r="AA157" s="477" t="s">
        <v>321</v>
      </c>
      <c r="AB157" s="438" t="s">
        <v>704</v>
      </c>
      <c r="AC157" s="459" t="str">
        <f t="shared" si="2"/>
        <v>埼玉県加須市</v>
      </c>
      <c r="AD157" s="460">
        <v>10.42</v>
      </c>
      <c r="AE157" s="438">
        <v>10.33</v>
      </c>
      <c r="AF157" s="459">
        <v>10.27</v>
      </c>
      <c r="AG157" s="417"/>
      <c r="AH157" s="417"/>
    </row>
    <row r="158" spans="22:34" ht="13.8" thickBot="1">
      <c r="V158" s="6" t="s">
        <v>2204</v>
      </c>
      <c r="W158" s="4" t="s">
        <v>705</v>
      </c>
      <c r="X158" s="2"/>
      <c r="Y158" s="435" t="s">
        <v>679</v>
      </c>
      <c r="Z158" s="436">
        <v>0.06</v>
      </c>
      <c r="AA158" s="477" t="s">
        <v>321</v>
      </c>
      <c r="AB158" s="438" t="s">
        <v>706</v>
      </c>
      <c r="AC158" s="459" t="str">
        <f t="shared" si="2"/>
        <v>埼玉県東松山市</v>
      </c>
      <c r="AD158" s="460">
        <v>10.42</v>
      </c>
      <c r="AE158" s="438">
        <v>10.33</v>
      </c>
      <c r="AF158" s="459">
        <v>10.27</v>
      </c>
      <c r="AG158" s="417"/>
      <c r="AH158" s="417"/>
    </row>
    <row r="159" spans="22:34" ht="13.8" thickBot="1">
      <c r="V159" s="6" t="s">
        <v>2204</v>
      </c>
      <c r="W159" s="4" t="s">
        <v>707</v>
      </c>
      <c r="X159" s="2"/>
      <c r="Y159" s="435" t="s">
        <v>679</v>
      </c>
      <c r="Z159" s="436">
        <v>0.06</v>
      </c>
      <c r="AA159" s="477" t="s">
        <v>321</v>
      </c>
      <c r="AB159" s="438" t="s">
        <v>708</v>
      </c>
      <c r="AC159" s="459" t="str">
        <f t="shared" si="2"/>
        <v>埼玉県春日部市</v>
      </c>
      <c r="AD159" s="460">
        <v>10.42</v>
      </c>
      <c r="AE159" s="438">
        <v>10.33</v>
      </c>
      <c r="AF159" s="459">
        <v>10.27</v>
      </c>
      <c r="AG159" s="417"/>
      <c r="AH159" s="417"/>
    </row>
    <row r="160" spans="22:34" ht="13.8" thickBot="1">
      <c r="V160" s="6" t="s">
        <v>2204</v>
      </c>
      <c r="W160" s="4" t="s">
        <v>709</v>
      </c>
      <c r="X160" s="2"/>
      <c r="Y160" s="435" t="s">
        <v>679</v>
      </c>
      <c r="Z160" s="436">
        <v>0.06</v>
      </c>
      <c r="AA160" s="477" t="s">
        <v>321</v>
      </c>
      <c r="AB160" s="438" t="s">
        <v>710</v>
      </c>
      <c r="AC160" s="459" t="str">
        <f t="shared" si="2"/>
        <v>埼玉県狭山市</v>
      </c>
      <c r="AD160" s="460">
        <v>10.42</v>
      </c>
      <c r="AE160" s="438">
        <v>10.33</v>
      </c>
      <c r="AF160" s="459">
        <v>10.27</v>
      </c>
      <c r="AG160" s="417"/>
      <c r="AH160" s="417"/>
    </row>
    <row r="161" spans="22:34" ht="13.8" thickBot="1">
      <c r="V161" s="6" t="s">
        <v>2204</v>
      </c>
      <c r="W161" s="4" t="s">
        <v>711</v>
      </c>
      <c r="X161" s="2"/>
      <c r="Y161" s="435" t="s">
        <v>679</v>
      </c>
      <c r="Z161" s="436">
        <v>0.06</v>
      </c>
      <c r="AA161" s="477" t="s">
        <v>321</v>
      </c>
      <c r="AB161" s="438" t="s">
        <v>712</v>
      </c>
      <c r="AC161" s="459" t="str">
        <f t="shared" si="2"/>
        <v>埼玉県羽生市</v>
      </c>
      <c r="AD161" s="460">
        <v>10.42</v>
      </c>
      <c r="AE161" s="438">
        <v>10.33</v>
      </c>
      <c r="AF161" s="459">
        <v>10.27</v>
      </c>
      <c r="AG161" s="417"/>
      <c r="AH161" s="417"/>
    </row>
    <row r="162" spans="22:34" ht="13.8" thickBot="1">
      <c r="V162" s="6" t="s">
        <v>2204</v>
      </c>
      <c r="W162" s="4" t="s">
        <v>713</v>
      </c>
      <c r="X162" s="2"/>
      <c r="Y162" s="435" t="s">
        <v>679</v>
      </c>
      <c r="Z162" s="436">
        <v>0.06</v>
      </c>
      <c r="AA162" s="477" t="s">
        <v>321</v>
      </c>
      <c r="AB162" s="438" t="s">
        <v>714</v>
      </c>
      <c r="AC162" s="459" t="str">
        <f t="shared" si="2"/>
        <v>埼玉県鴻巣市</v>
      </c>
      <c r="AD162" s="460">
        <v>10.42</v>
      </c>
      <c r="AE162" s="438">
        <v>10.33</v>
      </c>
      <c r="AF162" s="459">
        <v>10.27</v>
      </c>
      <c r="AG162" s="417"/>
      <c r="AH162" s="417"/>
    </row>
    <row r="163" spans="22:34" ht="13.8" thickBot="1">
      <c r="V163" s="6" t="s">
        <v>2204</v>
      </c>
      <c r="W163" s="4" t="s">
        <v>715</v>
      </c>
      <c r="X163" s="2"/>
      <c r="Y163" s="435" t="s">
        <v>679</v>
      </c>
      <c r="Z163" s="436">
        <v>0.06</v>
      </c>
      <c r="AA163" s="477" t="s">
        <v>321</v>
      </c>
      <c r="AB163" s="438" t="s">
        <v>716</v>
      </c>
      <c r="AC163" s="459" t="str">
        <f t="shared" si="2"/>
        <v>埼玉県上尾市</v>
      </c>
      <c r="AD163" s="460">
        <v>10.42</v>
      </c>
      <c r="AE163" s="438">
        <v>10.33</v>
      </c>
      <c r="AF163" s="459">
        <v>10.27</v>
      </c>
      <c r="AG163" s="417"/>
      <c r="AH163" s="417"/>
    </row>
    <row r="164" spans="22:34" ht="13.8" thickBot="1">
      <c r="V164" s="6" t="s">
        <v>2204</v>
      </c>
      <c r="W164" s="4" t="s">
        <v>717</v>
      </c>
      <c r="X164" s="2"/>
      <c r="Y164" s="435" t="s">
        <v>679</v>
      </c>
      <c r="Z164" s="436">
        <v>0.06</v>
      </c>
      <c r="AA164" s="477" t="s">
        <v>321</v>
      </c>
      <c r="AB164" s="438" t="s">
        <v>718</v>
      </c>
      <c r="AC164" s="459" t="str">
        <f t="shared" si="2"/>
        <v>埼玉県越谷市</v>
      </c>
      <c r="AD164" s="460">
        <v>10.42</v>
      </c>
      <c r="AE164" s="438">
        <v>10.33</v>
      </c>
      <c r="AF164" s="459">
        <v>10.27</v>
      </c>
      <c r="AG164" s="417"/>
      <c r="AH164" s="417"/>
    </row>
    <row r="165" spans="22:34" ht="13.8" thickBot="1">
      <c r="V165" s="6" t="s">
        <v>2204</v>
      </c>
      <c r="W165" s="4" t="s">
        <v>719</v>
      </c>
      <c r="X165" s="2"/>
      <c r="Y165" s="435" t="s">
        <v>679</v>
      </c>
      <c r="Z165" s="436">
        <v>0.06</v>
      </c>
      <c r="AA165" s="477" t="s">
        <v>321</v>
      </c>
      <c r="AB165" s="438" t="s">
        <v>720</v>
      </c>
      <c r="AC165" s="459" t="str">
        <f t="shared" si="2"/>
        <v>埼玉県蕨市</v>
      </c>
      <c r="AD165" s="460">
        <v>10.42</v>
      </c>
      <c r="AE165" s="438">
        <v>10.33</v>
      </c>
      <c r="AF165" s="459">
        <v>10.27</v>
      </c>
      <c r="AG165" s="417"/>
      <c r="AH165" s="417"/>
    </row>
    <row r="166" spans="22:34" ht="13.8" thickBot="1">
      <c r="V166" s="6" t="s">
        <v>2204</v>
      </c>
      <c r="W166" s="4" t="s">
        <v>721</v>
      </c>
      <c r="X166" s="2"/>
      <c r="Y166" s="435" t="s">
        <v>679</v>
      </c>
      <c r="Z166" s="436">
        <v>0.06</v>
      </c>
      <c r="AA166" s="477" t="s">
        <v>321</v>
      </c>
      <c r="AB166" s="438" t="s">
        <v>722</v>
      </c>
      <c r="AC166" s="459" t="str">
        <f t="shared" si="2"/>
        <v>埼玉県入間市</v>
      </c>
      <c r="AD166" s="460">
        <v>10.42</v>
      </c>
      <c r="AE166" s="438">
        <v>10.33</v>
      </c>
      <c r="AF166" s="459">
        <v>10.27</v>
      </c>
      <c r="AG166" s="417"/>
      <c r="AH166" s="417"/>
    </row>
    <row r="167" spans="22:34" ht="13.8" thickBot="1">
      <c r="V167" s="6" t="s">
        <v>2204</v>
      </c>
      <c r="W167" s="4" t="s">
        <v>723</v>
      </c>
      <c r="X167" s="2"/>
      <c r="Y167" s="435" t="s">
        <v>679</v>
      </c>
      <c r="Z167" s="436">
        <v>0.06</v>
      </c>
      <c r="AA167" s="477" t="s">
        <v>321</v>
      </c>
      <c r="AB167" s="438" t="s">
        <v>724</v>
      </c>
      <c r="AC167" s="459" t="str">
        <f t="shared" si="2"/>
        <v>埼玉県桶川市</v>
      </c>
      <c r="AD167" s="460">
        <v>10.42</v>
      </c>
      <c r="AE167" s="438">
        <v>10.33</v>
      </c>
      <c r="AF167" s="459">
        <v>10.27</v>
      </c>
      <c r="AG167" s="417"/>
      <c r="AH167" s="417"/>
    </row>
    <row r="168" spans="22:34" ht="13.8" thickBot="1">
      <c r="V168" s="6" t="s">
        <v>2204</v>
      </c>
      <c r="W168" s="4" t="s">
        <v>725</v>
      </c>
      <c r="X168" s="2"/>
      <c r="Y168" s="435" t="s">
        <v>679</v>
      </c>
      <c r="Z168" s="436">
        <v>0.06</v>
      </c>
      <c r="AA168" s="477" t="s">
        <v>321</v>
      </c>
      <c r="AB168" s="438" t="s">
        <v>726</v>
      </c>
      <c r="AC168" s="459" t="str">
        <f t="shared" si="2"/>
        <v>埼玉県久喜市</v>
      </c>
      <c r="AD168" s="460">
        <v>10.42</v>
      </c>
      <c r="AE168" s="438">
        <v>10.33</v>
      </c>
      <c r="AF168" s="459">
        <v>10.27</v>
      </c>
      <c r="AG168" s="417"/>
      <c r="AH168" s="417"/>
    </row>
    <row r="169" spans="22:34" ht="13.8" thickBot="1">
      <c r="V169" s="6" t="s">
        <v>2204</v>
      </c>
      <c r="W169" s="4" t="s">
        <v>727</v>
      </c>
      <c r="X169" s="2"/>
      <c r="Y169" s="435" t="s">
        <v>679</v>
      </c>
      <c r="Z169" s="436">
        <v>0.06</v>
      </c>
      <c r="AA169" s="477" t="s">
        <v>321</v>
      </c>
      <c r="AB169" s="438" t="s">
        <v>728</v>
      </c>
      <c r="AC169" s="459" t="str">
        <f t="shared" si="2"/>
        <v>埼玉県北本市</v>
      </c>
      <c r="AD169" s="460">
        <v>10.42</v>
      </c>
      <c r="AE169" s="438">
        <v>10.33</v>
      </c>
      <c r="AF169" s="459">
        <v>10.27</v>
      </c>
      <c r="AG169" s="417"/>
      <c r="AH169" s="417"/>
    </row>
    <row r="170" spans="22:34" ht="13.8" thickBot="1">
      <c r="V170" s="6" t="s">
        <v>2204</v>
      </c>
      <c r="W170" s="4" t="s">
        <v>729</v>
      </c>
      <c r="X170" s="2"/>
      <c r="Y170" s="435" t="s">
        <v>679</v>
      </c>
      <c r="Z170" s="436">
        <v>0.06</v>
      </c>
      <c r="AA170" s="477" t="s">
        <v>321</v>
      </c>
      <c r="AB170" s="438" t="s">
        <v>730</v>
      </c>
      <c r="AC170" s="459" t="str">
        <f t="shared" si="2"/>
        <v>埼玉県富士見市</v>
      </c>
      <c r="AD170" s="460">
        <v>10.42</v>
      </c>
      <c r="AE170" s="438">
        <v>10.33</v>
      </c>
      <c r="AF170" s="459">
        <v>10.27</v>
      </c>
      <c r="AG170" s="417"/>
      <c r="AH170" s="417"/>
    </row>
    <row r="171" spans="22:34" ht="13.8" thickBot="1">
      <c r="V171" s="6" t="s">
        <v>2204</v>
      </c>
      <c r="W171" s="4" t="s">
        <v>731</v>
      </c>
      <c r="X171" s="2"/>
      <c r="Y171" s="435" t="s">
        <v>679</v>
      </c>
      <c r="Z171" s="436">
        <v>0.06</v>
      </c>
      <c r="AA171" s="477" t="s">
        <v>321</v>
      </c>
      <c r="AB171" s="438" t="s">
        <v>732</v>
      </c>
      <c r="AC171" s="459" t="str">
        <f t="shared" si="2"/>
        <v>埼玉県三郷市</v>
      </c>
      <c r="AD171" s="460">
        <v>10.42</v>
      </c>
      <c r="AE171" s="438">
        <v>10.33</v>
      </c>
      <c r="AF171" s="459">
        <v>10.27</v>
      </c>
      <c r="AG171" s="417"/>
      <c r="AH171" s="417"/>
    </row>
    <row r="172" spans="22:34" ht="13.8" thickBot="1">
      <c r="V172" s="6" t="s">
        <v>2204</v>
      </c>
      <c r="W172" s="4" t="s">
        <v>733</v>
      </c>
      <c r="X172" s="2"/>
      <c r="Y172" s="435" t="s">
        <v>679</v>
      </c>
      <c r="Z172" s="436">
        <v>0.06</v>
      </c>
      <c r="AA172" s="477" t="s">
        <v>321</v>
      </c>
      <c r="AB172" s="438" t="s">
        <v>734</v>
      </c>
      <c r="AC172" s="459" t="str">
        <f t="shared" si="2"/>
        <v>埼玉県蓮田市</v>
      </c>
      <c r="AD172" s="460">
        <v>10.42</v>
      </c>
      <c r="AE172" s="438">
        <v>10.33</v>
      </c>
      <c r="AF172" s="459">
        <v>10.27</v>
      </c>
      <c r="AG172" s="417"/>
      <c r="AH172" s="417"/>
    </row>
    <row r="173" spans="22:34" ht="13.8" thickBot="1">
      <c r="V173" s="6" t="s">
        <v>2204</v>
      </c>
      <c r="W173" s="4" t="s">
        <v>735</v>
      </c>
      <c r="X173" s="2"/>
      <c r="Y173" s="435" t="s">
        <v>679</v>
      </c>
      <c r="Z173" s="436">
        <v>0.06</v>
      </c>
      <c r="AA173" s="477" t="s">
        <v>321</v>
      </c>
      <c r="AB173" s="438" t="s">
        <v>736</v>
      </c>
      <c r="AC173" s="459" t="str">
        <f t="shared" si="2"/>
        <v>埼玉県坂戸市</v>
      </c>
      <c r="AD173" s="460">
        <v>10.42</v>
      </c>
      <c r="AE173" s="438">
        <v>10.33</v>
      </c>
      <c r="AF173" s="459">
        <v>10.27</v>
      </c>
      <c r="AG173" s="417"/>
      <c r="AH173" s="417"/>
    </row>
    <row r="174" spans="22:34" ht="13.8" thickBot="1">
      <c r="V174" s="6" t="s">
        <v>2204</v>
      </c>
      <c r="W174" s="4" t="s">
        <v>737</v>
      </c>
      <c r="X174" s="2"/>
      <c r="Y174" s="435" t="s">
        <v>679</v>
      </c>
      <c r="Z174" s="436">
        <v>0.06</v>
      </c>
      <c r="AA174" s="477" t="s">
        <v>321</v>
      </c>
      <c r="AB174" s="438" t="s">
        <v>738</v>
      </c>
      <c r="AC174" s="459" t="str">
        <f t="shared" si="2"/>
        <v>埼玉県幸手市</v>
      </c>
      <c r="AD174" s="460">
        <v>10.42</v>
      </c>
      <c r="AE174" s="438">
        <v>10.33</v>
      </c>
      <c r="AF174" s="459">
        <v>10.27</v>
      </c>
      <c r="AG174" s="417"/>
      <c r="AH174" s="417"/>
    </row>
    <row r="175" spans="22:34" ht="13.8" thickBot="1">
      <c r="V175" s="6" t="s">
        <v>2204</v>
      </c>
      <c r="W175" s="4" t="s">
        <v>739</v>
      </c>
      <c r="X175" s="2"/>
      <c r="Y175" s="435" t="s">
        <v>679</v>
      </c>
      <c r="Z175" s="436">
        <v>0.06</v>
      </c>
      <c r="AA175" s="477" t="s">
        <v>321</v>
      </c>
      <c r="AB175" s="438" t="s">
        <v>740</v>
      </c>
      <c r="AC175" s="459" t="str">
        <f t="shared" si="2"/>
        <v>埼玉県鶴ヶ島市</v>
      </c>
      <c r="AD175" s="460">
        <v>10.42</v>
      </c>
      <c r="AE175" s="438">
        <v>10.33</v>
      </c>
      <c r="AF175" s="459">
        <v>10.27</v>
      </c>
      <c r="AG175" s="417"/>
      <c r="AH175" s="417"/>
    </row>
    <row r="176" spans="22:34" ht="13.8" thickBot="1">
      <c r="V176" s="6" t="s">
        <v>2204</v>
      </c>
      <c r="W176" s="4" t="s">
        <v>741</v>
      </c>
      <c r="X176" s="2"/>
      <c r="Y176" s="435" t="s">
        <v>679</v>
      </c>
      <c r="Z176" s="436">
        <v>0.06</v>
      </c>
      <c r="AA176" s="477" t="s">
        <v>321</v>
      </c>
      <c r="AB176" s="438" t="s">
        <v>742</v>
      </c>
      <c r="AC176" s="459" t="str">
        <f t="shared" si="2"/>
        <v>埼玉県吉川市</v>
      </c>
      <c r="AD176" s="460">
        <v>10.42</v>
      </c>
      <c r="AE176" s="438">
        <v>10.33</v>
      </c>
      <c r="AF176" s="459">
        <v>10.27</v>
      </c>
      <c r="AG176" s="417"/>
      <c r="AH176" s="417"/>
    </row>
    <row r="177" spans="22:34" ht="13.8" thickBot="1">
      <c r="V177" s="6" t="s">
        <v>2204</v>
      </c>
      <c r="W177" s="4" t="s">
        <v>743</v>
      </c>
      <c r="X177" s="2"/>
      <c r="Y177" s="435" t="s">
        <v>679</v>
      </c>
      <c r="Z177" s="436">
        <v>0.06</v>
      </c>
      <c r="AA177" s="477" t="s">
        <v>321</v>
      </c>
      <c r="AB177" s="438" t="s">
        <v>744</v>
      </c>
      <c r="AC177" s="459" t="str">
        <f t="shared" si="2"/>
        <v>埼玉県白岡市</v>
      </c>
      <c r="AD177" s="460">
        <v>10.42</v>
      </c>
      <c r="AE177" s="438">
        <v>10.33</v>
      </c>
      <c r="AF177" s="459">
        <v>10.27</v>
      </c>
      <c r="AG177" s="417"/>
      <c r="AH177" s="417"/>
    </row>
    <row r="178" spans="22:34" ht="13.8" thickBot="1">
      <c r="V178" s="6" t="s">
        <v>2204</v>
      </c>
      <c r="W178" s="4" t="s">
        <v>745</v>
      </c>
      <c r="X178" s="2"/>
      <c r="Y178" s="435" t="s">
        <v>679</v>
      </c>
      <c r="Z178" s="436">
        <v>0.06</v>
      </c>
      <c r="AA178" s="477" t="s">
        <v>321</v>
      </c>
      <c r="AB178" s="438" t="s">
        <v>746</v>
      </c>
      <c r="AC178" s="459" t="str">
        <f t="shared" si="2"/>
        <v>埼玉県伊奈町</v>
      </c>
      <c r="AD178" s="460">
        <v>10.42</v>
      </c>
      <c r="AE178" s="438">
        <v>10.33</v>
      </c>
      <c r="AF178" s="459">
        <v>10.27</v>
      </c>
      <c r="AG178" s="417"/>
      <c r="AH178" s="417"/>
    </row>
    <row r="179" spans="22:34" ht="13.8" thickBot="1">
      <c r="V179" s="6" t="s">
        <v>2204</v>
      </c>
      <c r="W179" s="4" t="s">
        <v>747</v>
      </c>
      <c r="X179" s="2"/>
      <c r="Y179" s="435" t="s">
        <v>679</v>
      </c>
      <c r="Z179" s="436">
        <v>0.06</v>
      </c>
      <c r="AA179" s="477" t="s">
        <v>321</v>
      </c>
      <c r="AB179" s="438" t="s">
        <v>748</v>
      </c>
      <c r="AC179" s="459" t="str">
        <f t="shared" si="2"/>
        <v>埼玉県三芳町</v>
      </c>
      <c r="AD179" s="460">
        <v>10.42</v>
      </c>
      <c r="AE179" s="438">
        <v>10.33</v>
      </c>
      <c r="AF179" s="459">
        <v>10.27</v>
      </c>
      <c r="AG179" s="417"/>
      <c r="AH179" s="417"/>
    </row>
    <row r="180" spans="22:34" ht="13.8" thickBot="1">
      <c r="V180" s="6" t="s">
        <v>2204</v>
      </c>
      <c r="W180" s="4" t="s">
        <v>749</v>
      </c>
      <c r="X180" s="2"/>
      <c r="Y180" s="435" t="s">
        <v>679</v>
      </c>
      <c r="Z180" s="436">
        <v>0.06</v>
      </c>
      <c r="AA180" s="477" t="s">
        <v>321</v>
      </c>
      <c r="AB180" s="438" t="s">
        <v>750</v>
      </c>
      <c r="AC180" s="459" t="str">
        <f t="shared" si="2"/>
        <v>埼玉県宮代町</v>
      </c>
      <c r="AD180" s="460">
        <v>10.42</v>
      </c>
      <c r="AE180" s="438">
        <v>10.33</v>
      </c>
      <c r="AF180" s="459">
        <v>10.27</v>
      </c>
      <c r="AG180" s="417"/>
      <c r="AH180" s="417"/>
    </row>
    <row r="181" spans="22:34" ht="13.8" thickBot="1">
      <c r="V181" s="6" t="s">
        <v>2204</v>
      </c>
      <c r="W181" s="4" t="s">
        <v>751</v>
      </c>
      <c r="X181" s="2"/>
      <c r="Y181" s="435" t="s">
        <v>679</v>
      </c>
      <c r="Z181" s="436">
        <v>0.06</v>
      </c>
      <c r="AA181" s="477" t="s">
        <v>321</v>
      </c>
      <c r="AB181" s="438" t="s">
        <v>752</v>
      </c>
      <c r="AC181" s="459" t="str">
        <f t="shared" si="2"/>
        <v>埼玉県杉戸町</v>
      </c>
      <c r="AD181" s="460">
        <v>10.42</v>
      </c>
      <c r="AE181" s="438">
        <v>10.33</v>
      </c>
      <c r="AF181" s="459">
        <v>10.27</v>
      </c>
      <c r="AG181" s="417"/>
      <c r="AH181" s="417"/>
    </row>
    <row r="182" spans="22:34" ht="13.8" thickBot="1">
      <c r="V182" s="6" t="s">
        <v>2204</v>
      </c>
      <c r="W182" s="4" t="s">
        <v>753</v>
      </c>
      <c r="X182" s="2"/>
      <c r="Y182" s="435" t="s">
        <v>679</v>
      </c>
      <c r="Z182" s="436">
        <v>0.06</v>
      </c>
      <c r="AA182" s="477" t="s">
        <v>321</v>
      </c>
      <c r="AB182" s="438" t="s">
        <v>754</v>
      </c>
      <c r="AC182" s="459" t="str">
        <f t="shared" si="2"/>
        <v>埼玉県松伏町</v>
      </c>
      <c r="AD182" s="460">
        <v>10.42</v>
      </c>
      <c r="AE182" s="438">
        <v>10.33</v>
      </c>
      <c r="AF182" s="459">
        <v>10.27</v>
      </c>
      <c r="AG182" s="417"/>
      <c r="AH182" s="417"/>
    </row>
    <row r="183" spans="22:34" ht="13.8" thickBot="1">
      <c r="V183" s="6" t="s">
        <v>2204</v>
      </c>
      <c r="W183" s="4" t="s">
        <v>755</v>
      </c>
      <c r="X183" s="2"/>
      <c r="Y183" s="435" t="s">
        <v>679</v>
      </c>
      <c r="Z183" s="436">
        <v>0.06</v>
      </c>
      <c r="AA183" s="477" t="s">
        <v>326</v>
      </c>
      <c r="AB183" s="438" t="s">
        <v>756</v>
      </c>
      <c r="AC183" s="459" t="str">
        <f t="shared" si="2"/>
        <v>千葉県木更津市</v>
      </c>
      <c r="AD183" s="460">
        <v>10.42</v>
      </c>
      <c r="AE183" s="438">
        <v>10.33</v>
      </c>
      <c r="AF183" s="459">
        <v>10.27</v>
      </c>
      <c r="AG183" s="417"/>
      <c r="AH183" s="417"/>
    </row>
    <row r="184" spans="22:34" ht="13.8" thickBot="1">
      <c r="V184" s="6" t="s">
        <v>2204</v>
      </c>
      <c r="W184" s="4" t="s">
        <v>757</v>
      </c>
      <c r="X184" s="2"/>
      <c r="Y184" s="435" t="s">
        <v>679</v>
      </c>
      <c r="Z184" s="436">
        <v>0.06</v>
      </c>
      <c r="AA184" s="477" t="s">
        <v>326</v>
      </c>
      <c r="AB184" s="438" t="s">
        <v>758</v>
      </c>
      <c r="AC184" s="459" t="str">
        <f t="shared" si="2"/>
        <v>千葉県野田市</v>
      </c>
      <c r="AD184" s="460">
        <v>10.42</v>
      </c>
      <c r="AE184" s="438">
        <v>10.33</v>
      </c>
      <c r="AF184" s="459">
        <v>10.27</v>
      </c>
      <c r="AG184" s="417"/>
      <c r="AH184" s="417"/>
    </row>
    <row r="185" spans="22:34" ht="13.8" thickBot="1">
      <c r="V185" s="6" t="s">
        <v>2204</v>
      </c>
      <c r="W185" s="4" t="s">
        <v>759</v>
      </c>
      <c r="X185" s="2"/>
      <c r="Y185" s="435" t="s">
        <v>679</v>
      </c>
      <c r="Z185" s="436">
        <v>0.06</v>
      </c>
      <c r="AA185" s="477" t="s">
        <v>326</v>
      </c>
      <c r="AB185" s="438" t="s">
        <v>760</v>
      </c>
      <c r="AC185" s="459" t="str">
        <f t="shared" si="2"/>
        <v>千葉県茂原市</v>
      </c>
      <c r="AD185" s="460">
        <v>10.42</v>
      </c>
      <c r="AE185" s="438">
        <v>10.33</v>
      </c>
      <c r="AF185" s="459">
        <v>10.27</v>
      </c>
      <c r="AG185" s="417"/>
      <c r="AH185" s="417"/>
    </row>
    <row r="186" spans="22:34" ht="13.8" thickBot="1">
      <c r="V186" s="6" t="s">
        <v>2204</v>
      </c>
      <c r="W186" s="4" t="s">
        <v>761</v>
      </c>
      <c r="X186" s="2"/>
      <c r="Y186" s="435" t="s">
        <v>679</v>
      </c>
      <c r="Z186" s="436">
        <v>0.06</v>
      </c>
      <c r="AA186" s="477" t="s">
        <v>326</v>
      </c>
      <c r="AB186" s="438" t="s">
        <v>762</v>
      </c>
      <c r="AC186" s="459" t="str">
        <f t="shared" si="2"/>
        <v>千葉県柏市</v>
      </c>
      <c r="AD186" s="460">
        <v>10.42</v>
      </c>
      <c r="AE186" s="438">
        <v>10.33</v>
      </c>
      <c r="AF186" s="459">
        <v>10.27</v>
      </c>
      <c r="AG186" s="417"/>
      <c r="AH186" s="417"/>
    </row>
    <row r="187" spans="22:34">
      <c r="V187" s="6" t="s">
        <v>2204</v>
      </c>
      <c r="W187" s="4" t="s">
        <v>763</v>
      </c>
      <c r="X187" s="2"/>
      <c r="Y187" s="435" t="s">
        <v>679</v>
      </c>
      <c r="Z187" s="436">
        <v>0.06</v>
      </c>
      <c r="AA187" s="477" t="s">
        <v>326</v>
      </c>
      <c r="AB187" s="438" t="s">
        <v>764</v>
      </c>
      <c r="AC187" s="459" t="str">
        <f t="shared" si="2"/>
        <v>千葉県流山市</v>
      </c>
      <c r="AD187" s="460">
        <v>10.42</v>
      </c>
      <c r="AE187" s="438">
        <v>10.33</v>
      </c>
      <c r="AF187" s="459">
        <v>10.27</v>
      </c>
      <c r="AG187" s="417"/>
      <c r="AH187" s="417"/>
    </row>
    <row r="188" spans="22:34">
      <c r="V188" s="4" t="s">
        <v>282</v>
      </c>
      <c r="W188" s="4" t="s">
        <v>765</v>
      </c>
      <c r="X188" s="2"/>
      <c r="Y188" s="435" t="s">
        <v>679</v>
      </c>
      <c r="Z188" s="436">
        <v>0.06</v>
      </c>
      <c r="AA188" s="477" t="s">
        <v>326</v>
      </c>
      <c r="AB188" s="438" t="s">
        <v>766</v>
      </c>
      <c r="AC188" s="459" t="str">
        <f t="shared" si="2"/>
        <v>千葉県我孫子市</v>
      </c>
      <c r="AD188" s="460">
        <v>10.42</v>
      </c>
      <c r="AE188" s="438">
        <v>10.33</v>
      </c>
      <c r="AF188" s="459">
        <v>10.27</v>
      </c>
      <c r="AG188" s="417"/>
      <c r="AH188" s="417"/>
    </row>
    <row r="189" spans="22:34">
      <c r="V189" s="4" t="s">
        <v>282</v>
      </c>
      <c r="W189" s="4" t="s">
        <v>767</v>
      </c>
      <c r="X189" s="2"/>
      <c r="Y189" s="435" t="s">
        <v>679</v>
      </c>
      <c r="Z189" s="436">
        <v>0.06</v>
      </c>
      <c r="AA189" s="477" t="s">
        <v>326</v>
      </c>
      <c r="AB189" s="438" t="s">
        <v>768</v>
      </c>
      <c r="AC189" s="459" t="str">
        <f t="shared" si="2"/>
        <v>千葉県鎌ケ谷市</v>
      </c>
      <c r="AD189" s="460">
        <v>10.42</v>
      </c>
      <c r="AE189" s="438">
        <v>10.33</v>
      </c>
      <c r="AF189" s="459">
        <v>10.27</v>
      </c>
      <c r="AG189" s="417"/>
      <c r="AH189" s="417"/>
    </row>
    <row r="190" spans="22:34">
      <c r="V190" s="4" t="s">
        <v>282</v>
      </c>
      <c r="W190" s="4" t="s">
        <v>769</v>
      </c>
      <c r="X190" s="2"/>
      <c r="Y190" s="435" t="s">
        <v>679</v>
      </c>
      <c r="Z190" s="436">
        <v>0.06</v>
      </c>
      <c r="AA190" s="477" t="s">
        <v>326</v>
      </c>
      <c r="AB190" s="438" t="s">
        <v>770</v>
      </c>
      <c r="AC190" s="459" t="str">
        <f t="shared" si="2"/>
        <v>千葉県白井市</v>
      </c>
      <c r="AD190" s="460">
        <v>10.42</v>
      </c>
      <c r="AE190" s="438">
        <v>10.33</v>
      </c>
      <c r="AF190" s="459">
        <v>10.27</v>
      </c>
      <c r="AG190" s="417"/>
      <c r="AH190" s="417"/>
    </row>
    <row r="191" spans="22:34">
      <c r="V191" s="4" t="s">
        <v>282</v>
      </c>
      <c r="W191" s="4" t="s">
        <v>771</v>
      </c>
      <c r="X191" s="2"/>
      <c r="Y191" s="435" t="s">
        <v>679</v>
      </c>
      <c r="Z191" s="436">
        <v>0.06</v>
      </c>
      <c r="AA191" s="477" t="s">
        <v>326</v>
      </c>
      <c r="AB191" s="438" t="s">
        <v>772</v>
      </c>
      <c r="AC191" s="459" t="str">
        <f t="shared" si="2"/>
        <v>千葉県酒々井町</v>
      </c>
      <c r="AD191" s="460">
        <v>10.42</v>
      </c>
      <c r="AE191" s="438">
        <v>10.33</v>
      </c>
      <c r="AF191" s="459">
        <v>10.27</v>
      </c>
      <c r="AG191" s="417"/>
      <c r="AH191" s="417"/>
    </row>
    <row r="192" spans="22:34">
      <c r="V192" s="4" t="s">
        <v>282</v>
      </c>
      <c r="W192" s="4" t="s">
        <v>773</v>
      </c>
      <c r="X192" s="2"/>
      <c r="Y192" s="435" t="s">
        <v>679</v>
      </c>
      <c r="Z192" s="436">
        <v>0.06</v>
      </c>
      <c r="AA192" s="477" t="s">
        <v>4</v>
      </c>
      <c r="AB192" s="438" t="s">
        <v>774</v>
      </c>
      <c r="AC192" s="459" t="str">
        <f t="shared" si="2"/>
        <v>東京都武蔵村山市</v>
      </c>
      <c r="AD192" s="460">
        <v>10.42</v>
      </c>
      <c r="AE192" s="438">
        <v>10.33</v>
      </c>
      <c r="AF192" s="459">
        <v>10.27</v>
      </c>
      <c r="AG192" s="417"/>
      <c r="AH192" s="417"/>
    </row>
    <row r="193" spans="22:34">
      <c r="V193" s="4" t="s">
        <v>282</v>
      </c>
      <c r="W193" s="4" t="s">
        <v>775</v>
      </c>
      <c r="X193" s="2"/>
      <c r="Y193" s="435" t="s">
        <v>679</v>
      </c>
      <c r="Z193" s="436">
        <v>0.06</v>
      </c>
      <c r="AA193" s="477" t="s">
        <v>4</v>
      </c>
      <c r="AB193" s="438" t="s">
        <v>776</v>
      </c>
      <c r="AC193" s="459" t="str">
        <f t="shared" si="2"/>
        <v>東京都羽村市</v>
      </c>
      <c r="AD193" s="460">
        <v>10.42</v>
      </c>
      <c r="AE193" s="438">
        <v>10.33</v>
      </c>
      <c r="AF193" s="459">
        <v>10.27</v>
      </c>
      <c r="AG193" s="417"/>
      <c r="AH193" s="417"/>
    </row>
    <row r="194" spans="22:34">
      <c r="V194" s="4" t="s">
        <v>282</v>
      </c>
      <c r="W194" s="4" t="s">
        <v>777</v>
      </c>
      <c r="X194" s="2"/>
      <c r="Y194" s="435" t="s">
        <v>679</v>
      </c>
      <c r="Z194" s="436">
        <v>0.06</v>
      </c>
      <c r="AA194" s="477" t="s">
        <v>4</v>
      </c>
      <c r="AB194" s="438" t="s">
        <v>778</v>
      </c>
      <c r="AC194" s="459" t="str">
        <f t="shared" si="2"/>
        <v>東京都瑞穂町</v>
      </c>
      <c r="AD194" s="460">
        <v>10.42</v>
      </c>
      <c r="AE194" s="438">
        <v>10.33</v>
      </c>
      <c r="AF194" s="459">
        <v>10.27</v>
      </c>
      <c r="AG194" s="417"/>
      <c r="AH194" s="417"/>
    </row>
    <row r="195" spans="22:34">
      <c r="V195" s="4" t="s">
        <v>282</v>
      </c>
      <c r="W195" s="4" t="s">
        <v>779</v>
      </c>
      <c r="X195" s="2"/>
      <c r="Y195" s="435" t="s">
        <v>679</v>
      </c>
      <c r="Z195" s="436">
        <v>0.06</v>
      </c>
      <c r="AA195" s="477" t="s">
        <v>4</v>
      </c>
      <c r="AB195" s="438" t="s">
        <v>780</v>
      </c>
      <c r="AC195" s="459" t="str">
        <f t="shared" si="2"/>
        <v>東京都奥多摩町</v>
      </c>
      <c r="AD195" s="460">
        <v>10.42</v>
      </c>
      <c r="AE195" s="438">
        <v>10.33</v>
      </c>
      <c r="AF195" s="459">
        <v>10.27</v>
      </c>
      <c r="AG195" s="417"/>
      <c r="AH195" s="417"/>
    </row>
    <row r="196" spans="22:34">
      <c r="V196" s="4" t="s">
        <v>282</v>
      </c>
      <c r="W196" s="4" t="s">
        <v>781</v>
      </c>
      <c r="X196" s="2"/>
      <c r="Y196" s="435" t="s">
        <v>679</v>
      </c>
      <c r="Z196" s="436">
        <v>0.06</v>
      </c>
      <c r="AA196" s="477" t="s">
        <v>4</v>
      </c>
      <c r="AB196" s="438" t="s">
        <v>782</v>
      </c>
      <c r="AC196" s="459" t="str">
        <f t="shared" ref="AC196:AC259" si="3">AA196&amp;AB196</f>
        <v>東京都檜原村</v>
      </c>
      <c r="AD196" s="460">
        <v>10.42</v>
      </c>
      <c r="AE196" s="438">
        <v>10.33</v>
      </c>
      <c r="AF196" s="459">
        <v>10.27</v>
      </c>
      <c r="AG196" s="417"/>
      <c r="AH196" s="417"/>
    </row>
    <row r="197" spans="22:34">
      <c r="V197" s="4" t="s">
        <v>282</v>
      </c>
      <c r="W197" s="4" t="s">
        <v>783</v>
      </c>
      <c r="X197" s="2"/>
      <c r="Y197" s="435" t="s">
        <v>679</v>
      </c>
      <c r="Z197" s="436">
        <v>0.06</v>
      </c>
      <c r="AA197" s="477" t="s">
        <v>333</v>
      </c>
      <c r="AB197" s="438" t="s">
        <v>784</v>
      </c>
      <c r="AC197" s="459" t="str">
        <f t="shared" si="3"/>
        <v>神奈川県秦野市</v>
      </c>
      <c r="AD197" s="460">
        <v>10.42</v>
      </c>
      <c r="AE197" s="438">
        <v>10.33</v>
      </c>
      <c r="AF197" s="459">
        <v>10.27</v>
      </c>
      <c r="AG197" s="417"/>
      <c r="AH197" s="417"/>
    </row>
    <row r="198" spans="22:34">
      <c r="V198" s="4" t="s">
        <v>282</v>
      </c>
      <c r="W198" s="4" t="s">
        <v>785</v>
      </c>
      <c r="X198" s="2"/>
      <c r="Y198" s="435" t="s">
        <v>679</v>
      </c>
      <c r="Z198" s="436">
        <v>0.06</v>
      </c>
      <c r="AA198" s="477" t="s">
        <v>333</v>
      </c>
      <c r="AB198" s="438" t="s">
        <v>786</v>
      </c>
      <c r="AC198" s="459" t="str">
        <f t="shared" si="3"/>
        <v>神奈川県大磯町</v>
      </c>
      <c r="AD198" s="460">
        <v>10.42</v>
      </c>
      <c r="AE198" s="438">
        <v>10.33</v>
      </c>
      <c r="AF198" s="459">
        <v>10.27</v>
      </c>
      <c r="AG198" s="417"/>
      <c r="AH198" s="417"/>
    </row>
    <row r="199" spans="22:34">
      <c r="V199" s="4" t="s">
        <v>282</v>
      </c>
      <c r="W199" s="4" t="s">
        <v>787</v>
      </c>
      <c r="X199" s="2"/>
      <c r="Y199" s="435" t="s">
        <v>679</v>
      </c>
      <c r="Z199" s="436">
        <v>0.06</v>
      </c>
      <c r="AA199" s="477" t="s">
        <v>333</v>
      </c>
      <c r="AB199" s="438" t="s">
        <v>788</v>
      </c>
      <c r="AC199" s="459" t="str">
        <f t="shared" si="3"/>
        <v>神奈川県二宮町</v>
      </c>
      <c r="AD199" s="460">
        <v>10.42</v>
      </c>
      <c r="AE199" s="438">
        <v>10.33</v>
      </c>
      <c r="AF199" s="459">
        <v>10.27</v>
      </c>
      <c r="AG199" s="417"/>
      <c r="AH199" s="417"/>
    </row>
    <row r="200" spans="22:34">
      <c r="V200" s="4" t="s">
        <v>282</v>
      </c>
      <c r="W200" s="4" t="s">
        <v>789</v>
      </c>
      <c r="X200" s="2"/>
      <c r="Y200" s="435" t="s">
        <v>679</v>
      </c>
      <c r="Z200" s="436">
        <v>0.06</v>
      </c>
      <c r="AA200" s="477" t="s">
        <v>333</v>
      </c>
      <c r="AB200" s="438" t="s">
        <v>790</v>
      </c>
      <c r="AC200" s="459" t="str">
        <f t="shared" si="3"/>
        <v>神奈川県中井町</v>
      </c>
      <c r="AD200" s="460">
        <v>10.42</v>
      </c>
      <c r="AE200" s="438">
        <v>10.33</v>
      </c>
      <c r="AF200" s="459">
        <v>10.27</v>
      </c>
      <c r="AG200" s="417"/>
      <c r="AH200" s="417"/>
    </row>
    <row r="201" spans="22:34">
      <c r="V201" s="4" t="s">
        <v>282</v>
      </c>
      <c r="W201" s="4" t="s">
        <v>791</v>
      </c>
      <c r="X201" s="2"/>
      <c r="Y201" s="435" t="s">
        <v>679</v>
      </c>
      <c r="Z201" s="436">
        <v>0.06</v>
      </c>
      <c r="AA201" s="477" t="s">
        <v>333</v>
      </c>
      <c r="AB201" s="438" t="s">
        <v>792</v>
      </c>
      <c r="AC201" s="459" t="str">
        <f t="shared" si="3"/>
        <v>神奈川県清川村</v>
      </c>
      <c r="AD201" s="460">
        <v>10.42</v>
      </c>
      <c r="AE201" s="438">
        <v>10.33</v>
      </c>
      <c r="AF201" s="459">
        <v>10.27</v>
      </c>
      <c r="AG201" s="417"/>
      <c r="AH201" s="417"/>
    </row>
    <row r="202" spans="22:34">
      <c r="V202" s="4" t="s">
        <v>282</v>
      </c>
      <c r="W202" s="4" t="s">
        <v>793</v>
      </c>
      <c r="X202" s="2"/>
      <c r="Y202" s="435" t="s">
        <v>679</v>
      </c>
      <c r="Z202" s="436">
        <v>0.06</v>
      </c>
      <c r="AA202" s="477" t="s">
        <v>363</v>
      </c>
      <c r="AB202" s="438" t="s">
        <v>794</v>
      </c>
      <c r="AC202" s="459" t="str">
        <f t="shared" si="3"/>
        <v>岐阜県岐阜市</v>
      </c>
      <c r="AD202" s="460">
        <v>10.42</v>
      </c>
      <c r="AE202" s="438">
        <v>10.33</v>
      </c>
      <c r="AF202" s="459">
        <v>10.27</v>
      </c>
      <c r="AG202" s="417"/>
      <c r="AH202" s="417"/>
    </row>
    <row r="203" spans="22:34">
      <c r="V203" s="4" t="s">
        <v>282</v>
      </c>
      <c r="W203" s="4" t="s">
        <v>795</v>
      </c>
      <c r="X203" s="2"/>
      <c r="Y203" s="435" t="s">
        <v>679</v>
      </c>
      <c r="Z203" s="436">
        <v>0.06</v>
      </c>
      <c r="AA203" s="477" t="s">
        <v>367</v>
      </c>
      <c r="AB203" s="438" t="s">
        <v>796</v>
      </c>
      <c r="AC203" s="459" t="str">
        <f t="shared" si="3"/>
        <v>静岡県静岡市</v>
      </c>
      <c r="AD203" s="460">
        <v>10.42</v>
      </c>
      <c r="AE203" s="438">
        <v>10.33</v>
      </c>
      <c r="AF203" s="459">
        <v>10.27</v>
      </c>
      <c r="AG203" s="417"/>
      <c r="AH203" s="417"/>
    </row>
    <row r="204" spans="22:34">
      <c r="V204" s="4" t="s">
        <v>282</v>
      </c>
      <c r="W204" s="4" t="s">
        <v>797</v>
      </c>
      <c r="X204" s="2"/>
      <c r="Y204" s="435" t="s">
        <v>679</v>
      </c>
      <c r="Z204" s="436">
        <v>0.06</v>
      </c>
      <c r="AA204" s="477" t="s">
        <v>371</v>
      </c>
      <c r="AB204" s="438" t="s">
        <v>798</v>
      </c>
      <c r="AC204" s="459" t="str">
        <f t="shared" si="3"/>
        <v>愛知県岡崎市</v>
      </c>
      <c r="AD204" s="460">
        <v>10.42</v>
      </c>
      <c r="AE204" s="438">
        <v>10.33</v>
      </c>
      <c r="AF204" s="459">
        <v>10.27</v>
      </c>
      <c r="AG204" s="417"/>
      <c r="AH204" s="417"/>
    </row>
    <row r="205" spans="22:34">
      <c r="V205" s="4" t="s">
        <v>282</v>
      </c>
      <c r="W205" s="4" t="s">
        <v>799</v>
      </c>
      <c r="X205" s="2"/>
      <c r="Y205" s="435" t="s">
        <v>679</v>
      </c>
      <c r="Z205" s="436">
        <v>0.06</v>
      </c>
      <c r="AA205" s="477" t="s">
        <v>371</v>
      </c>
      <c r="AB205" s="438" t="s">
        <v>800</v>
      </c>
      <c r="AC205" s="459" t="str">
        <f t="shared" si="3"/>
        <v>愛知県一宮市</v>
      </c>
      <c r="AD205" s="460">
        <v>10.42</v>
      </c>
      <c r="AE205" s="438">
        <v>10.33</v>
      </c>
      <c r="AF205" s="459">
        <v>10.27</v>
      </c>
      <c r="AG205" s="417"/>
      <c r="AH205" s="417"/>
    </row>
    <row r="206" spans="22:34">
      <c r="V206" s="4" t="s">
        <v>282</v>
      </c>
      <c r="W206" s="4" t="s">
        <v>801</v>
      </c>
      <c r="X206" s="2"/>
      <c r="Y206" s="435" t="s">
        <v>679</v>
      </c>
      <c r="Z206" s="436">
        <v>0.06</v>
      </c>
      <c r="AA206" s="477" t="s">
        <v>371</v>
      </c>
      <c r="AB206" s="438" t="s">
        <v>802</v>
      </c>
      <c r="AC206" s="459" t="str">
        <f t="shared" si="3"/>
        <v>愛知県瀬戸市</v>
      </c>
      <c r="AD206" s="460">
        <v>10.42</v>
      </c>
      <c r="AE206" s="438">
        <v>10.33</v>
      </c>
      <c r="AF206" s="459">
        <v>10.27</v>
      </c>
      <c r="AG206" s="417"/>
      <c r="AH206" s="417"/>
    </row>
    <row r="207" spans="22:34">
      <c r="V207" s="4" t="s">
        <v>282</v>
      </c>
      <c r="W207" s="4" t="s">
        <v>803</v>
      </c>
      <c r="X207" s="2"/>
      <c r="Y207" s="435" t="s">
        <v>679</v>
      </c>
      <c r="Z207" s="436">
        <v>0.06</v>
      </c>
      <c r="AA207" s="477" t="s">
        <v>371</v>
      </c>
      <c r="AB207" s="438" t="s">
        <v>804</v>
      </c>
      <c r="AC207" s="459" t="str">
        <f t="shared" si="3"/>
        <v>愛知県春日井市</v>
      </c>
      <c r="AD207" s="460">
        <v>10.42</v>
      </c>
      <c r="AE207" s="438">
        <v>10.33</v>
      </c>
      <c r="AF207" s="459">
        <v>10.27</v>
      </c>
      <c r="AG207" s="417"/>
      <c r="AH207" s="417"/>
    </row>
    <row r="208" spans="22:34">
      <c r="V208" s="4" t="s">
        <v>282</v>
      </c>
      <c r="W208" s="4" t="s">
        <v>805</v>
      </c>
      <c r="X208" s="2"/>
      <c r="Y208" s="435" t="s">
        <v>679</v>
      </c>
      <c r="Z208" s="436">
        <v>0.06</v>
      </c>
      <c r="AA208" s="477" t="s">
        <v>371</v>
      </c>
      <c r="AB208" s="438" t="s">
        <v>806</v>
      </c>
      <c r="AC208" s="459" t="str">
        <f t="shared" si="3"/>
        <v>愛知県津島市</v>
      </c>
      <c r="AD208" s="460">
        <v>10.42</v>
      </c>
      <c r="AE208" s="438">
        <v>10.33</v>
      </c>
      <c r="AF208" s="459">
        <v>10.27</v>
      </c>
      <c r="AG208" s="417"/>
      <c r="AH208" s="417"/>
    </row>
    <row r="209" spans="22:34">
      <c r="V209" s="4" t="s">
        <v>282</v>
      </c>
      <c r="W209" s="4" t="s">
        <v>807</v>
      </c>
      <c r="X209" s="2"/>
      <c r="Y209" s="435" t="s">
        <v>679</v>
      </c>
      <c r="Z209" s="436">
        <v>0.06</v>
      </c>
      <c r="AA209" s="477" t="s">
        <v>371</v>
      </c>
      <c r="AB209" s="438" t="s">
        <v>808</v>
      </c>
      <c r="AC209" s="459" t="str">
        <f t="shared" si="3"/>
        <v>愛知県碧南市</v>
      </c>
      <c r="AD209" s="460">
        <v>10.42</v>
      </c>
      <c r="AE209" s="438">
        <v>10.33</v>
      </c>
      <c r="AF209" s="459">
        <v>10.27</v>
      </c>
      <c r="AG209" s="417"/>
      <c r="AH209" s="417"/>
    </row>
    <row r="210" spans="22:34">
      <c r="V210" s="4" t="s">
        <v>282</v>
      </c>
      <c r="W210" s="4" t="s">
        <v>809</v>
      </c>
      <c r="X210" s="2"/>
      <c r="Y210" s="435" t="s">
        <v>679</v>
      </c>
      <c r="Z210" s="436">
        <v>0.06</v>
      </c>
      <c r="AA210" s="477" t="s">
        <v>371</v>
      </c>
      <c r="AB210" s="438" t="s">
        <v>810</v>
      </c>
      <c r="AC210" s="459" t="str">
        <f t="shared" si="3"/>
        <v>愛知県安城市</v>
      </c>
      <c r="AD210" s="460">
        <v>10.42</v>
      </c>
      <c r="AE210" s="438">
        <v>10.33</v>
      </c>
      <c r="AF210" s="459">
        <v>10.27</v>
      </c>
      <c r="AG210" s="417"/>
      <c r="AH210" s="417"/>
    </row>
    <row r="211" spans="22:34">
      <c r="V211" s="4" t="s">
        <v>282</v>
      </c>
      <c r="W211" s="4" t="s">
        <v>811</v>
      </c>
      <c r="X211" s="2"/>
      <c r="Y211" s="435" t="s">
        <v>679</v>
      </c>
      <c r="Z211" s="436">
        <v>0.06</v>
      </c>
      <c r="AA211" s="477" t="s">
        <v>371</v>
      </c>
      <c r="AB211" s="438" t="s">
        <v>812</v>
      </c>
      <c r="AC211" s="459" t="str">
        <f t="shared" si="3"/>
        <v>愛知県西尾市</v>
      </c>
      <c r="AD211" s="460">
        <v>10.42</v>
      </c>
      <c r="AE211" s="438">
        <v>10.33</v>
      </c>
      <c r="AF211" s="459">
        <v>10.27</v>
      </c>
      <c r="AG211" s="417"/>
      <c r="AH211" s="417"/>
    </row>
    <row r="212" spans="22:34">
      <c r="V212" s="4" t="s">
        <v>282</v>
      </c>
      <c r="W212" s="4" t="s">
        <v>813</v>
      </c>
      <c r="X212" s="2"/>
      <c r="Y212" s="435" t="s">
        <v>679</v>
      </c>
      <c r="Z212" s="436">
        <v>0.06</v>
      </c>
      <c r="AA212" s="477" t="s">
        <v>371</v>
      </c>
      <c r="AB212" s="438" t="s">
        <v>814</v>
      </c>
      <c r="AC212" s="459" t="str">
        <f t="shared" si="3"/>
        <v>愛知県犬山市</v>
      </c>
      <c r="AD212" s="460">
        <v>10.42</v>
      </c>
      <c r="AE212" s="438">
        <v>10.33</v>
      </c>
      <c r="AF212" s="459">
        <v>10.27</v>
      </c>
      <c r="AG212" s="417"/>
      <c r="AH212" s="417"/>
    </row>
    <row r="213" spans="22:34">
      <c r="V213" s="4" t="s">
        <v>282</v>
      </c>
      <c r="W213" s="4" t="s">
        <v>815</v>
      </c>
      <c r="X213" s="2"/>
      <c r="Y213" s="435" t="s">
        <v>679</v>
      </c>
      <c r="Z213" s="436">
        <v>0.06</v>
      </c>
      <c r="AA213" s="477" t="s">
        <v>371</v>
      </c>
      <c r="AB213" s="438" t="s">
        <v>816</v>
      </c>
      <c r="AC213" s="459" t="str">
        <f t="shared" si="3"/>
        <v>愛知県江南市</v>
      </c>
      <c r="AD213" s="460">
        <v>10.42</v>
      </c>
      <c r="AE213" s="438">
        <v>10.33</v>
      </c>
      <c r="AF213" s="459">
        <v>10.27</v>
      </c>
      <c r="AG213" s="417"/>
      <c r="AH213" s="417"/>
    </row>
    <row r="214" spans="22:34">
      <c r="V214" s="4" t="s">
        <v>282</v>
      </c>
      <c r="W214" s="4" t="s">
        <v>817</v>
      </c>
      <c r="X214" s="2"/>
      <c r="Y214" s="435" t="s">
        <v>679</v>
      </c>
      <c r="Z214" s="436">
        <v>0.06</v>
      </c>
      <c r="AA214" s="477" t="s">
        <v>371</v>
      </c>
      <c r="AB214" s="438" t="s">
        <v>818</v>
      </c>
      <c r="AC214" s="459" t="str">
        <f t="shared" si="3"/>
        <v>愛知県稲沢市</v>
      </c>
      <c r="AD214" s="460">
        <v>10.42</v>
      </c>
      <c r="AE214" s="438">
        <v>10.33</v>
      </c>
      <c r="AF214" s="459">
        <v>10.27</v>
      </c>
      <c r="AG214" s="417"/>
      <c r="AH214" s="417"/>
    </row>
    <row r="215" spans="22:34">
      <c r="V215" s="4" t="s">
        <v>282</v>
      </c>
      <c r="W215" s="4" t="s">
        <v>819</v>
      </c>
      <c r="X215" s="2"/>
      <c r="Y215" s="435" t="s">
        <v>679</v>
      </c>
      <c r="Z215" s="436">
        <v>0.06</v>
      </c>
      <c r="AA215" s="477" t="s">
        <v>371</v>
      </c>
      <c r="AB215" s="438" t="s">
        <v>820</v>
      </c>
      <c r="AC215" s="459" t="str">
        <f t="shared" si="3"/>
        <v>愛知県尾張旭市</v>
      </c>
      <c r="AD215" s="460">
        <v>10.42</v>
      </c>
      <c r="AE215" s="438">
        <v>10.33</v>
      </c>
      <c r="AF215" s="459">
        <v>10.27</v>
      </c>
      <c r="AG215" s="417"/>
      <c r="AH215" s="417"/>
    </row>
    <row r="216" spans="22:34">
      <c r="V216" s="4" t="s">
        <v>282</v>
      </c>
      <c r="W216" s="4" t="s">
        <v>821</v>
      </c>
      <c r="X216" s="2"/>
      <c r="Y216" s="435" t="s">
        <v>679</v>
      </c>
      <c r="Z216" s="436">
        <v>0.06</v>
      </c>
      <c r="AA216" s="477" t="s">
        <v>371</v>
      </c>
      <c r="AB216" s="438" t="s">
        <v>822</v>
      </c>
      <c r="AC216" s="459" t="str">
        <f t="shared" si="3"/>
        <v>愛知県岩倉市</v>
      </c>
      <c r="AD216" s="460">
        <v>10.42</v>
      </c>
      <c r="AE216" s="438">
        <v>10.33</v>
      </c>
      <c r="AF216" s="459">
        <v>10.27</v>
      </c>
      <c r="AG216" s="417"/>
      <c r="AH216" s="417"/>
    </row>
    <row r="217" spans="22:34">
      <c r="V217" s="4" t="s">
        <v>282</v>
      </c>
      <c r="W217" s="4" t="s">
        <v>823</v>
      </c>
      <c r="X217" s="2"/>
      <c r="Y217" s="435" t="s">
        <v>679</v>
      </c>
      <c r="Z217" s="436">
        <v>0.06</v>
      </c>
      <c r="AA217" s="477" t="s">
        <v>371</v>
      </c>
      <c r="AB217" s="438" t="s">
        <v>824</v>
      </c>
      <c r="AC217" s="459" t="str">
        <f t="shared" si="3"/>
        <v>愛知県日進市</v>
      </c>
      <c r="AD217" s="460">
        <v>10.42</v>
      </c>
      <c r="AE217" s="438">
        <v>10.33</v>
      </c>
      <c r="AF217" s="459">
        <v>10.27</v>
      </c>
      <c r="AG217" s="417"/>
      <c r="AH217" s="417"/>
    </row>
    <row r="218" spans="22:34">
      <c r="V218" s="4" t="s">
        <v>282</v>
      </c>
      <c r="W218" s="4" t="s">
        <v>825</v>
      </c>
      <c r="X218" s="2"/>
      <c r="Y218" s="435" t="s">
        <v>679</v>
      </c>
      <c r="Z218" s="436">
        <v>0.06</v>
      </c>
      <c r="AA218" s="477" t="s">
        <v>371</v>
      </c>
      <c r="AB218" s="438" t="s">
        <v>826</v>
      </c>
      <c r="AC218" s="459" t="str">
        <f t="shared" si="3"/>
        <v>愛知県愛西市</v>
      </c>
      <c r="AD218" s="460">
        <v>10.42</v>
      </c>
      <c r="AE218" s="438">
        <v>10.33</v>
      </c>
      <c r="AF218" s="459">
        <v>10.27</v>
      </c>
      <c r="AG218" s="417"/>
      <c r="AH218" s="417"/>
    </row>
    <row r="219" spans="22:34">
      <c r="V219" s="4" t="s">
        <v>282</v>
      </c>
      <c r="W219" s="4" t="s">
        <v>827</v>
      </c>
      <c r="X219" s="2"/>
      <c r="Y219" s="435" t="s">
        <v>679</v>
      </c>
      <c r="Z219" s="436">
        <v>0.06</v>
      </c>
      <c r="AA219" s="477" t="s">
        <v>371</v>
      </c>
      <c r="AB219" s="438" t="s">
        <v>828</v>
      </c>
      <c r="AC219" s="459" t="str">
        <f t="shared" si="3"/>
        <v>愛知県清須市</v>
      </c>
      <c r="AD219" s="460">
        <v>10.42</v>
      </c>
      <c r="AE219" s="438">
        <v>10.33</v>
      </c>
      <c r="AF219" s="459">
        <v>10.27</v>
      </c>
      <c r="AG219" s="417"/>
      <c r="AH219" s="417"/>
    </row>
    <row r="220" spans="22:34">
      <c r="V220" s="4" t="s">
        <v>282</v>
      </c>
      <c r="W220" s="4" t="s">
        <v>829</v>
      </c>
      <c r="X220" s="2"/>
      <c r="Y220" s="435" t="s">
        <v>679</v>
      </c>
      <c r="Z220" s="436">
        <v>0.06</v>
      </c>
      <c r="AA220" s="477" t="s">
        <v>371</v>
      </c>
      <c r="AB220" s="438" t="s">
        <v>830</v>
      </c>
      <c r="AC220" s="459" t="str">
        <f t="shared" si="3"/>
        <v>愛知県北名古屋市</v>
      </c>
      <c r="AD220" s="460">
        <v>10.42</v>
      </c>
      <c r="AE220" s="438">
        <v>10.33</v>
      </c>
      <c r="AF220" s="459">
        <v>10.27</v>
      </c>
      <c r="AG220" s="417"/>
      <c r="AH220" s="417"/>
    </row>
    <row r="221" spans="22:34">
      <c r="V221" s="4" t="s">
        <v>282</v>
      </c>
      <c r="W221" s="4" t="s">
        <v>831</v>
      </c>
      <c r="X221" s="2"/>
      <c r="Y221" s="435" t="s">
        <v>679</v>
      </c>
      <c r="Z221" s="436">
        <v>0.06</v>
      </c>
      <c r="AA221" s="477" t="s">
        <v>371</v>
      </c>
      <c r="AB221" s="438" t="s">
        <v>832</v>
      </c>
      <c r="AC221" s="459" t="str">
        <f t="shared" si="3"/>
        <v>愛知県弥富市</v>
      </c>
      <c r="AD221" s="460">
        <v>10.42</v>
      </c>
      <c r="AE221" s="438">
        <v>10.33</v>
      </c>
      <c r="AF221" s="459">
        <v>10.27</v>
      </c>
      <c r="AG221" s="417"/>
      <c r="AH221" s="417"/>
    </row>
    <row r="222" spans="22:34">
      <c r="V222" s="4" t="s">
        <v>282</v>
      </c>
      <c r="W222" s="4" t="s">
        <v>833</v>
      </c>
      <c r="X222" s="2"/>
      <c r="Y222" s="435" t="s">
        <v>679</v>
      </c>
      <c r="Z222" s="436">
        <v>0.06</v>
      </c>
      <c r="AA222" s="477" t="s">
        <v>371</v>
      </c>
      <c r="AB222" s="438" t="s">
        <v>834</v>
      </c>
      <c r="AC222" s="459" t="str">
        <f t="shared" si="3"/>
        <v>愛知県あま市</v>
      </c>
      <c r="AD222" s="460">
        <v>10.42</v>
      </c>
      <c r="AE222" s="438">
        <v>10.33</v>
      </c>
      <c r="AF222" s="459">
        <v>10.27</v>
      </c>
      <c r="AG222" s="417"/>
      <c r="AH222" s="417"/>
    </row>
    <row r="223" spans="22:34">
      <c r="V223" s="4" t="s">
        <v>282</v>
      </c>
      <c r="W223" s="4" t="s">
        <v>835</v>
      </c>
      <c r="X223" s="2"/>
      <c r="Y223" s="435" t="s">
        <v>679</v>
      </c>
      <c r="Z223" s="436">
        <v>0.06</v>
      </c>
      <c r="AA223" s="477" t="s">
        <v>371</v>
      </c>
      <c r="AB223" s="438" t="s">
        <v>836</v>
      </c>
      <c r="AC223" s="459" t="str">
        <f t="shared" si="3"/>
        <v>愛知県長久手市</v>
      </c>
      <c r="AD223" s="460">
        <v>10.42</v>
      </c>
      <c r="AE223" s="438">
        <v>10.33</v>
      </c>
      <c r="AF223" s="459">
        <v>10.27</v>
      </c>
      <c r="AG223" s="417"/>
      <c r="AH223" s="417"/>
    </row>
    <row r="224" spans="22:34">
      <c r="V224" s="4" t="s">
        <v>282</v>
      </c>
      <c r="W224" s="4" t="s">
        <v>837</v>
      </c>
      <c r="X224" s="2"/>
      <c r="Y224" s="435" t="s">
        <v>679</v>
      </c>
      <c r="Z224" s="436">
        <v>0.06</v>
      </c>
      <c r="AA224" s="477" t="s">
        <v>371</v>
      </c>
      <c r="AB224" s="438" t="s">
        <v>838</v>
      </c>
      <c r="AC224" s="459" t="str">
        <f t="shared" si="3"/>
        <v>愛知県東郷町</v>
      </c>
      <c r="AD224" s="460">
        <v>10.42</v>
      </c>
      <c r="AE224" s="438">
        <v>10.33</v>
      </c>
      <c r="AF224" s="459">
        <v>10.27</v>
      </c>
      <c r="AG224" s="417"/>
      <c r="AH224" s="417"/>
    </row>
    <row r="225" spans="22:34">
      <c r="V225" s="4" t="s">
        <v>282</v>
      </c>
      <c r="W225" s="4" t="s">
        <v>839</v>
      </c>
      <c r="X225" s="2"/>
      <c r="Y225" s="435" t="s">
        <v>679</v>
      </c>
      <c r="Z225" s="436">
        <v>0.06</v>
      </c>
      <c r="AA225" s="477" t="s">
        <v>371</v>
      </c>
      <c r="AB225" s="438" t="s">
        <v>840</v>
      </c>
      <c r="AC225" s="459" t="str">
        <f t="shared" si="3"/>
        <v>愛知県大治町</v>
      </c>
      <c r="AD225" s="460">
        <v>10.42</v>
      </c>
      <c r="AE225" s="438">
        <v>10.33</v>
      </c>
      <c r="AF225" s="459">
        <v>10.27</v>
      </c>
      <c r="AG225" s="417"/>
      <c r="AH225" s="417"/>
    </row>
    <row r="226" spans="22:34">
      <c r="V226" s="4" t="s">
        <v>282</v>
      </c>
      <c r="W226" s="4" t="s">
        <v>841</v>
      </c>
      <c r="X226" s="2"/>
      <c r="Y226" s="435" t="s">
        <v>679</v>
      </c>
      <c r="Z226" s="436">
        <v>0.06</v>
      </c>
      <c r="AA226" s="477" t="s">
        <v>371</v>
      </c>
      <c r="AB226" s="438" t="s">
        <v>842</v>
      </c>
      <c r="AC226" s="459" t="str">
        <f t="shared" si="3"/>
        <v>愛知県蟹江町</v>
      </c>
      <c r="AD226" s="460">
        <v>10.42</v>
      </c>
      <c r="AE226" s="438">
        <v>10.33</v>
      </c>
      <c r="AF226" s="459">
        <v>10.27</v>
      </c>
      <c r="AG226" s="417"/>
      <c r="AH226" s="417"/>
    </row>
    <row r="227" spans="22:34">
      <c r="V227" s="4" t="s">
        <v>282</v>
      </c>
      <c r="W227" s="4" t="s">
        <v>843</v>
      </c>
      <c r="X227" s="2"/>
      <c r="Y227" s="435" t="s">
        <v>679</v>
      </c>
      <c r="Z227" s="436">
        <v>0.06</v>
      </c>
      <c r="AA227" s="477" t="s">
        <v>371</v>
      </c>
      <c r="AB227" s="438" t="s">
        <v>844</v>
      </c>
      <c r="AC227" s="459" t="str">
        <f t="shared" si="3"/>
        <v>愛知県豊山町</v>
      </c>
      <c r="AD227" s="460">
        <v>10.42</v>
      </c>
      <c r="AE227" s="438">
        <v>10.33</v>
      </c>
      <c r="AF227" s="459">
        <v>10.27</v>
      </c>
      <c r="AG227" s="417"/>
      <c r="AH227" s="417"/>
    </row>
    <row r="228" spans="22:34">
      <c r="V228" s="4" t="s">
        <v>286</v>
      </c>
      <c r="W228" s="4" t="s">
        <v>845</v>
      </c>
      <c r="X228" s="2"/>
      <c r="Y228" s="435" t="s">
        <v>679</v>
      </c>
      <c r="Z228" s="436">
        <v>0.06</v>
      </c>
      <c r="AA228" s="477" t="s">
        <v>371</v>
      </c>
      <c r="AB228" s="438" t="s">
        <v>846</v>
      </c>
      <c r="AC228" s="459" t="str">
        <f t="shared" si="3"/>
        <v>愛知県飛島村</v>
      </c>
      <c r="AD228" s="460">
        <v>10.42</v>
      </c>
      <c r="AE228" s="438">
        <v>10.33</v>
      </c>
      <c r="AF228" s="459">
        <v>10.27</v>
      </c>
      <c r="AG228" s="417"/>
      <c r="AH228" s="417"/>
    </row>
    <row r="229" spans="22:34">
      <c r="V229" s="4" t="s">
        <v>286</v>
      </c>
      <c r="W229" s="4" t="s">
        <v>847</v>
      </c>
      <c r="X229" s="2"/>
      <c r="Y229" s="435" t="s">
        <v>679</v>
      </c>
      <c r="Z229" s="436">
        <v>0.06</v>
      </c>
      <c r="AA229" s="477" t="s">
        <v>375</v>
      </c>
      <c r="AB229" s="438" t="s">
        <v>848</v>
      </c>
      <c r="AC229" s="459" t="str">
        <f t="shared" si="3"/>
        <v>三重県津市</v>
      </c>
      <c r="AD229" s="460">
        <v>10.42</v>
      </c>
      <c r="AE229" s="438">
        <v>10.33</v>
      </c>
      <c r="AF229" s="459">
        <v>10.27</v>
      </c>
      <c r="AG229" s="417"/>
      <c r="AH229" s="417"/>
    </row>
    <row r="230" spans="22:34">
      <c r="V230" s="4" t="s">
        <v>286</v>
      </c>
      <c r="W230" s="4" t="s">
        <v>849</v>
      </c>
      <c r="X230" s="2"/>
      <c r="Y230" s="435" t="s">
        <v>679</v>
      </c>
      <c r="Z230" s="436">
        <v>0.06</v>
      </c>
      <c r="AA230" s="477" t="s">
        <v>375</v>
      </c>
      <c r="AB230" s="438" t="s">
        <v>850</v>
      </c>
      <c r="AC230" s="459" t="str">
        <f t="shared" si="3"/>
        <v>三重県四日市市</v>
      </c>
      <c r="AD230" s="460">
        <v>10.42</v>
      </c>
      <c r="AE230" s="438">
        <v>10.33</v>
      </c>
      <c r="AF230" s="459">
        <v>10.27</v>
      </c>
      <c r="AG230" s="417"/>
      <c r="AH230" s="417"/>
    </row>
    <row r="231" spans="22:34">
      <c r="V231" s="4" t="s">
        <v>286</v>
      </c>
      <c r="W231" s="4" t="s">
        <v>851</v>
      </c>
      <c r="X231" s="2"/>
      <c r="Y231" s="435" t="s">
        <v>679</v>
      </c>
      <c r="Z231" s="436">
        <v>0.06</v>
      </c>
      <c r="AA231" s="477" t="s">
        <v>375</v>
      </c>
      <c r="AB231" s="438" t="s">
        <v>852</v>
      </c>
      <c r="AC231" s="459" t="str">
        <f t="shared" si="3"/>
        <v>三重県桑名市</v>
      </c>
      <c r="AD231" s="460">
        <v>10.42</v>
      </c>
      <c r="AE231" s="438">
        <v>10.33</v>
      </c>
      <c r="AF231" s="459">
        <v>10.27</v>
      </c>
      <c r="AG231" s="417"/>
      <c r="AH231" s="417"/>
    </row>
    <row r="232" spans="22:34">
      <c r="V232" s="4" t="s">
        <v>286</v>
      </c>
      <c r="W232" s="4" t="s">
        <v>853</v>
      </c>
      <c r="X232" s="2"/>
      <c r="Y232" s="435" t="s">
        <v>679</v>
      </c>
      <c r="Z232" s="436">
        <v>0.06</v>
      </c>
      <c r="AA232" s="477" t="s">
        <v>375</v>
      </c>
      <c r="AB232" s="438" t="s">
        <v>854</v>
      </c>
      <c r="AC232" s="459" t="str">
        <f t="shared" si="3"/>
        <v>三重県鈴鹿市</v>
      </c>
      <c r="AD232" s="460">
        <v>10.42</v>
      </c>
      <c r="AE232" s="438">
        <v>10.33</v>
      </c>
      <c r="AF232" s="459">
        <v>10.27</v>
      </c>
      <c r="AG232" s="417"/>
      <c r="AH232" s="417"/>
    </row>
    <row r="233" spans="22:34">
      <c r="V233" s="4" t="s">
        <v>286</v>
      </c>
      <c r="W233" s="4" t="s">
        <v>855</v>
      </c>
      <c r="X233" s="2"/>
      <c r="Y233" s="435" t="s">
        <v>679</v>
      </c>
      <c r="Z233" s="436">
        <v>0.06</v>
      </c>
      <c r="AA233" s="477" t="s">
        <v>375</v>
      </c>
      <c r="AB233" s="438" t="s">
        <v>856</v>
      </c>
      <c r="AC233" s="459" t="str">
        <f t="shared" si="3"/>
        <v>三重県亀山市</v>
      </c>
      <c r="AD233" s="460">
        <v>10.42</v>
      </c>
      <c r="AE233" s="438">
        <v>10.33</v>
      </c>
      <c r="AF233" s="459">
        <v>10.27</v>
      </c>
      <c r="AG233" s="417"/>
      <c r="AH233" s="417"/>
    </row>
    <row r="234" spans="22:34">
      <c r="V234" s="4" t="s">
        <v>286</v>
      </c>
      <c r="W234" s="4" t="s">
        <v>857</v>
      </c>
      <c r="X234" s="2"/>
      <c r="Y234" s="435" t="s">
        <v>679</v>
      </c>
      <c r="Z234" s="436">
        <v>0.06</v>
      </c>
      <c r="AA234" s="477" t="s">
        <v>380</v>
      </c>
      <c r="AB234" s="438" t="s">
        <v>858</v>
      </c>
      <c r="AC234" s="459" t="str">
        <f t="shared" si="3"/>
        <v>滋賀県彦根市</v>
      </c>
      <c r="AD234" s="460">
        <v>10.42</v>
      </c>
      <c r="AE234" s="438">
        <v>10.33</v>
      </c>
      <c r="AF234" s="459">
        <v>10.27</v>
      </c>
      <c r="AG234" s="417"/>
      <c r="AH234" s="417"/>
    </row>
    <row r="235" spans="22:34">
      <c r="V235" s="4" t="s">
        <v>286</v>
      </c>
      <c r="W235" s="4" t="s">
        <v>859</v>
      </c>
      <c r="X235" s="2"/>
      <c r="Y235" s="435" t="s">
        <v>679</v>
      </c>
      <c r="Z235" s="436">
        <v>0.06</v>
      </c>
      <c r="AA235" s="477" t="s">
        <v>380</v>
      </c>
      <c r="AB235" s="438" t="s">
        <v>860</v>
      </c>
      <c r="AC235" s="459" t="str">
        <f t="shared" si="3"/>
        <v>滋賀県守山市</v>
      </c>
      <c r="AD235" s="460">
        <v>10.42</v>
      </c>
      <c r="AE235" s="438">
        <v>10.33</v>
      </c>
      <c r="AF235" s="459">
        <v>10.27</v>
      </c>
      <c r="AG235" s="417"/>
      <c r="AH235" s="417"/>
    </row>
    <row r="236" spans="22:34">
      <c r="V236" s="4" t="s">
        <v>286</v>
      </c>
      <c r="W236" s="4" t="s">
        <v>861</v>
      </c>
      <c r="X236" s="2"/>
      <c r="Y236" s="435" t="s">
        <v>679</v>
      </c>
      <c r="Z236" s="436">
        <v>0.06</v>
      </c>
      <c r="AA236" s="477" t="s">
        <v>380</v>
      </c>
      <c r="AB236" s="438" t="s">
        <v>862</v>
      </c>
      <c r="AC236" s="459" t="str">
        <f t="shared" si="3"/>
        <v>滋賀県甲賀市</v>
      </c>
      <c r="AD236" s="460">
        <v>10.42</v>
      </c>
      <c r="AE236" s="438">
        <v>10.33</v>
      </c>
      <c r="AF236" s="459">
        <v>10.27</v>
      </c>
      <c r="AG236" s="417"/>
      <c r="AH236" s="417"/>
    </row>
    <row r="237" spans="22:34">
      <c r="V237" s="4" t="s">
        <v>286</v>
      </c>
      <c r="W237" s="4" t="s">
        <v>863</v>
      </c>
      <c r="X237" s="2"/>
      <c r="Y237" s="435" t="s">
        <v>679</v>
      </c>
      <c r="Z237" s="436">
        <v>0.06</v>
      </c>
      <c r="AA237" s="477" t="s">
        <v>384</v>
      </c>
      <c r="AB237" s="438" t="s">
        <v>864</v>
      </c>
      <c r="AC237" s="459" t="str">
        <f t="shared" si="3"/>
        <v>京都府宇治市</v>
      </c>
      <c r="AD237" s="460">
        <v>10.42</v>
      </c>
      <c r="AE237" s="438">
        <v>10.33</v>
      </c>
      <c r="AF237" s="459">
        <v>10.27</v>
      </c>
      <c r="AG237" s="417"/>
      <c r="AH237" s="417"/>
    </row>
    <row r="238" spans="22:34">
      <c r="V238" s="4" t="s">
        <v>286</v>
      </c>
      <c r="W238" s="4" t="s">
        <v>865</v>
      </c>
      <c r="X238" s="2"/>
      <c r="Y238" s="435" t="s">
        <v>679</v>
      </c>
      <c r="Z238" s="436">
        <v>0.06</v>
      </c>
      <c r="AA238" s="477" t="s">
        <v>384</v>
      </c>
      <c r="AB238" s="438" t="s">
        <v>866</v>
      </c>
      <c r="AC238" s="459" t="str">
        <f t="shared" si="3"/>
        <v>京都府亀岡市</v>
      </c>
      <c r="AD238" s="460">
        <v>10.42</v>
      </c>
      <c r="AE238" s="438">
        <v>10.33</v>
      </c>
      <c r="AF238" s="459">
        <v>10.27</v>
      </c>
      <c r="AG238" s="417"/>
      <c r="AH238" s="417"/>
    </row>
    <row r="239" spans="22:34">
      <c r="V239" s="4" t="s">
        <v>286</v>
      </c>
      <c r="W239" s="4" t="s">
        <v>867</v>
      </c>
      <c r="X239" s="2"/>
      <c r="Y239" s="435" t="s">
        <v>679</v>
      </c>
      <c r="Z239" s="436">
        <v>0.06</v>
      </c>
      <c r="AA239" s="477" t="s">
        <v>384</v>
      </c>
      <c r="AB239" s="438" t="s">
        <v>868</v>
      </c>
      <c r="AC239" s="459" t="str">
        <f t="shared" si="3"/>
        <v>京都府城陽市</v>
      </c>
      <c r="AD239" s="460">
        <v>10.42</v>
      </c>
      <c r="AE239" s="438">
        <v>10.33</v>
      </c>
      <c r="AF239" s="459">
        <v>10.27</v>
      </c>
      <c r="AG239" s="417"/>
      <c r="AH239" s="417"/>
    </row>
    <row r="240" spans="22:34">
      <c r="V240" s="4" t="s">
        <v>286</v>
      </c>
      <c r="W240" s="4" t="s">
        <v>869</v>
      </c>
      <c r="X240" s="2"/>
      <c r="Y240" s="435" t="s">
        <v>679</v>
      </c>
      <c r="Z240" s="436">
        <v>0.06</v>
      </c>
      <c r="AA240" s="477" t="s">
        <v>384</v>
      </c>
      <c r="AB240" s="438" t="s">
        <v>870</v>
      </c>
      <c r="AC240" s="459" t="str">
        <f t="shared" si="3"/>
        <v>京都府向日市</v>
      </c>
      <c r="AD240" s="460">
        <v>10.42</v>
      </c>
      <c r="AE240" s="438">
        <v>10.33</v>
      </c>
      <c r="AF240" s="459">
        <v>10.27</v>
      </c>
      <c r="AG240" s="417"/>
      <c r="AH240" s="417"/>
    </row>
    <row r="241" spans="22:34">
      <c r="V241" s="4" t="s">
        <v>286</v>
      </c>
      <c r="W241" s="4" t="s">
        <v>871</v>
      </c>
      <c r="X241" s="2"/>
      <c r="Y241" s="435" t="s">
        <v>679</v>
      </c>
      <c r="Z241" s="436">
        <v>0.06</v>
      </c>
      <c r="AA241" s="477" t="s">
        <v>384</v>
      </c>
      <c r="AB241" s="438" t="s">
        <v>872</v>
      </c>
      <c r="AC241" s="459" t="str">
        <f t="shared" si="3"/>
        <v>京都府八幡市</v>
      </c>
      <c r="AD241" s="460">
        <v>10.42</v>
      </c>
      <c r="AE241" s="438">
        <v>10.33</v>
      </c>
      <c r="AF241" s="459">
        <v>10.27</v>
      </c>
      <c r="AG241" s="417"/>
      <c r="AH241" s="417"/>
    </row>
    <row r="242" spans="22:34">
      <c r="V242" s="4" t="s">
        <v>286</v>
      </c>
      <c r="W242" s="4" t="s">
        <v>873</v>
      </c>
      <c r="X242" s="2"/>
      <c r="Y242" s="435" t="s">
        <v>679</v>
      </c>
      <c r="Z242" s="436">
        <v>0.06</v>
      </c>
      <c r="AA242" s="477" t="s">
        <v>384</v>
      </c>
      <c r="AB242" s="438" t="s">
        <v>874</v>
      </c>
      <c r="AC242" s="459" t="str">
        <f t="shared" si="3"/>
        <v>京都府京田辺市</v>
      </c>
      <c r="AD242" s="460">
        <v>10.42</v>
      </c>
      <c r="AE242" s="438">
        <v>10.33</v>
      </c>
      <c r="AF242" s="459">
        <v>10.27</v>
      </c>
      <c r="AG242" s="417"/>
      <c r="AH242" s="417"/>
    </row>
    <row r="243" spans="22:34">
      <c r="V243" s="4" t="s">
        <v>286</v>
      </c>
      <c r="W243" s="4" t="s">
        <v>875</v>
      </c>
      <c r="X243" s="2"/>
      <c r="Y243" s="435" t="s">
        <v>679</v>
      </c>
      <c r="Z243" s="436">
        <v>0.06</v>
      </c>
      <c r="AA243" s="477" t="s">
        <v>384</v>
      </c>
      <c r="AB243" s="438" t="s">
        <v>876</v>
      </c>
      <c r="AC243" s="459" t="str">
        <f t="shared" si="3"/>
        <v>京都府木津川市</v>
      </c>
      <c r="AD243" s="460">
        <v>10.42</v>
      </c>
      <c r="AE243" s="438">
        <v>10.33</v>
      </c>
      <c r="AF243" s="459">
        <v>10.27</v>
      </c>
      <c r="AG243" s="417"/>
      <c r="AH243" s="417"/>
    </row>
    <row r="244" spans="22:34">
      <c r="V244" s="4" t="s">
        <v>286</v>
      </c>
      <c r="W244" s="4" t="s">
        <v>877</v>
      </c>
      <c r="X244" s="2"/>
      <c r="Y244" s="435" t="s">
        <v>679</v>
      </c>
      <c r="Z244" s="436">
        <v>0.06</v>
      </c>
      <c r="AA244" s="477" t="s">
        <v>384</v>
      </c>
      <c r="AB244" s="438" t="s">
        <v>878</v>
      </c>
      <c r="AC244" s="459" t="str">
        <f t="shared" si="3"/>
        <v>京都府大山崎町</v>
      </c>
      <c r="AD244" s="460">
        <v>10.42</v>
      </c>
      <c r="AE244" s="438">
        <v>10.33</v>
      </c>
      <c r="AF244" s="459">
        <v>10.27</v>
      </c>
      <c r="AG244" s="417"/>
      <c r="AH244" s="417"/>
    </row>
    <row r="245" spans="22:34">
      <c r="V245" s="4" t="s">
        <v>286</v>
      </c>
      <c r="W245" s="4" t="s">
        <v>879</v>
      </c>
      <c r="X245" s="2"/>
      <c r="Y245" s="435" t="s">
        <v>679</v>
      </c>
      <c r="Z245" s="436">
        <v>0.06</v>
      </c>
      <c r="AA245" s="477" t="s">
        <v>384</v>
      </c>
      <c r="AB245" s="438" t="s">
        <v>880</v>
      </c>
      <c r="AC245" s="459" t="str">
        <f t="shared" si="3"/>
        <v>京都府精華町</v>
      </c>
      <c r="AD245" s="460">
        <v>10.42</v>
      </c>
      <c r="AE245" s="438">
        <v>10.33</v>
      </c>
      <c r="AF245" s="459">
        <v>10.27</v>
      </c>
      <c r="AG245" s="417"/>
      <c r="AH245" s="417"/>
    </row>
    <row r="246" spans="22:34">
      <c r="V246" s="4" t="s">
        <v>286</v>
      </c>
      <c r="W246" s="4" t="s">
        <v>881</v>
      </c>
      <c r="X246" s="2"/>
      <c r="Y246" s="435" t="s">
        <v>679</v>
      </c>
      <c r="Z246" s="436">
        <v>0.06</v>
      </c>
      <c r="AA246" s="477" t="s">
        <v>388</v>
      </c>
      <c r="AB246" s="438" t="s">
        <v>882</v>
      </c>
      <c r="AC246" s="459" t="str">
        <f t="shared" si="3"/>
        <v>大阪府岸和田市</v>
      </c>
      <c r="AD246" s="460">
        <v>10.42</v>
      </c>
      <c r="AE246" s="438">
        <v>10.33</v>
      </c>
      <c r="AF246" s="459">
        <v>10.27</v>
      </c>
      <c r="AG246" s="417"/>
      <c r="AH246" s="417"/>
    </row>
    <row r="247" spans="22:34">
      <c r="V247" s="4" t="s">
        <v>286</v>
      </c>
      <c r="W247" s="4" t="s">
        <v>883</v>
      </c>
      <c r="X247" s="2"/>
      <c r="Y247" s="435" t="s">
        <v>679</v>
      </c>
      <c r="Z247" s="436">
        <v>0.06</v>
      </c>
      <c r="AA247" s="477" t="s">
        <v>388</v>
      </c>
      <c r="AB247" s="438" t="s">
        <v>884</v>
      </c>
      <c r="AC247" s="459" t="str">
        <f t="shared" si="3"/>
        <v>大阪府泉大津市</v>
      </c>
      <c r="AD247" s="460">
        <v>10.42</v>
      </c>
      <c r="AE247" s="438">
        <v>10.33</v>
      </c>
      <c r="AF247" s="459">
        <v>10.27</v>
      </c>
      <c r="AG247" s="417"/>
      <c r="AH247" s="417"/>
    </row>
    <row r="248" spans="22:34">
      <c r="V248" s="4" t="s">
        <v>286</v>
      </c>
      <c r="W248" s="4" t="s">
        <v>885</v>
      </c>
      <c r="X248" s="2"/>
      <c r="Y248" s="435" t="s">
        <v>679</v>
      </c>
      <c r="Z248" s="436">
        <v>0.06</v>
      </c>
      <c r="AA248" s="477" t="s">
        <v>388</v>
      </c>
      <c r="AB248" s="438" t="s">
        <v>886</v>
      </c>
      <c r="AC248" s="459" t="str">
        <f t="shared" si="3"/>
        <v>大阪府貝塚市</v>
      </c>
      <c r="AD248" s="460">
        <v>10.42</v>
      </c>
      <c r="AE248" s="438">
        <v>10.33</v>
      </c>
      <c r="AF248" s="459">
        <v>10.27</v>
      </c>
      <c r="AG248" s="417"/>
      <c r="AH248" s="417"/>
    </row>
    <row r="249" spans="22:34">
      <c r="V249" s="4" t="s">
        <v>286</v>
      </c>
      <c r="W249" s="4" t="s">
        <v>887</v>
      </c>
      <c r="X249" s="2"/>
      <c r="Y249" s="435" t="s">
        <v>679</v>
      </c>
      <c r="Z249" s="436">
        <v>0.06</v>
      </c>
      <c r="AA249" s="477" t="s">
        <v>388</v>
      </c>
      <c r="AB249" s="438" t="s">
        <v>888</v>
      </c>
      <c r="AC249" s="459" t="str">
        <f t="shared" si="3"/>
        <v>大阪府泉佐野市</v>
      </c>
      <c r="AD249" s="460">
        <v>10.42</v>
      </c>
      <c r="AE249" s="438">
        <v>10.33</v>
      </c>
      <c r="AF249" s="459">
        <v>10.27</v>
      </c>
      <c r="AG249" s="417"/>
      <c r="AH249" s="417"/>
    </row>
    <row r="250" spans="22:34">
      <c r="V250" s="4" t="s">
        <v>286</v>
      </c>
      <c r="W250" s="4" t="s">
        <v>889</v>
      </c>
      <c r="X250" s="2"/>
      <c r="Y250" s="435" t="s">
        <v>679</v>
      </c>
      <c r="Z250" s="436">
        <v>0.06</v>
      </c>
      <c r="AA250" s="477" t="s">
        <v>388</v>
      </c>
      <c r="AB250" s="438" t="s">
        <v>890</v>
      </c>
      <c r="AC250" s="459" t="str">
        <f t="shared" si="3"/>
        <v>大阪府富田林市</v>
      </c>
      <c r="AD250" s="460">
        <v>10.42</v>
      </c>
      <c r="AE250" s="438">
        <v>10.33</v>
      </c>
      <c r="AF250" s="459">
        <v>10.27</v>
      </c>
      <c r="AG250" s="417"/>
      <c r="AH250" s="417"/>
    </row>
    <row r="251" spans="22:34">
      <c r="V251" s="4" t="s">
        <v>286</v>
      </c>
      <c r="W251" s="4" t="s">
        <v>891</v>
      </c>
      <c r="X251" s="2"/>
      <c r="Y251" s="435" t="s">
        <v>679</v>
      </c>
      <c r="Z251" s="436">
        <v>0.06</v>
      </c>
      <c r="AA251" s="477" t="s">
        <v>388</v>
      </c>
      <c r="AB251" s="438" t="s">
        <v>892</v>
      </c>
      <c r="AC251" s="459" t="str">
        <f t="shared" si="3"/>
        <v>大阪府河内長野市</v>
      </c>
      <c r="AD251" s="460">
        <v>10.42</v>
      </c>
      <c r="AE251" s="438">
        <v>10.33</v>
      </c>
      <c r="AF251" s="459">
        <v>10.27</v>
      </c>
      <c r="AG251" s="417"/>
      <c r="AH251" s="417"/>
    </row>
    <row r="252" spans="22:34">
      <c r="V252" s="4" t="s">
        <v>286</v>
      </c>
      <c r="W252" s="4" t="s">
        <v>893</v>
      </c>
      <c r="X252" s="2"/>
      <c r="Y252" s="435" t="s">
        <v>679</v>
      </c>
      <c r="Z252" s="436">
        <v>0.06</v>
      </c>
      <c r="AA252" s="477" t="s">
        <v>388</v>
      </c>
      <c r="AB252" s="438" t="s">
        <v>894</v>
      </c>
      <c r="AC252" s="459" t="str">
        <f t="shared" si="3"/>
        <v>大阪府和泉市</v>
      </c>
      <c r="AD252" s="460">
        <v>10.42</v>
      </c>
      <c r="AE252" s="438">
        <v>10.33</v>
      </c>
      <c r="AF252" s="459">
        <v>10.27</v>
      </c>
      <c r="AG252" s="417"/>
      <c r="AH252" s="417"/>
    </row>
    <row r="253" spans="22:34">
      <c r="V253" s="4" t="s">
        <v>286</v>
      </c>
      <c r="W253" s="4" t="s">
        <v>895</v>
      </c>
      <c r="X253" s="2"/>
      <c r="Y253" s="435" t="s">
        <v>679</v>
      </c>
      <c r="Z253" s="436">
        <v>0.06</v>
      </c>
      <c r="AA253" s="477" t="s">
        <v>388</v>
      </c>
      <c r="AB253" s="438" t="s">
        <v>896</v>
      </c>
      <c r="AC253" s="459" t="str">
        <f t="shared" si="3"/>
        <v>大阪府柏原市</v>
      </c>
      <c r="AD253" s="460">
        <v>10.42</v>
      </c>
      <c r="AE253" s="438">
        <v>10.33</v>
      </c>
      <c r="AF253" s="459">
        <v>10.27</v>
      </c>
      <c r="AG253" s="417"/>
      <c r="AH253" s="417"/>
    </row>
    <row r="254" spans="22:34">
      <c r="V254" s="4" t="s">
        <v>286</v>
      </c>
      <c r="W254" s="4" t="s">
        <v>897</v>
      </c>
      <c r="X254" s="2"/>
      <c r="Y254" s="435" t="s">
        <v>679</v>
      </c>
      <c r="Z254" s="436">
        <v>0.06</v>
      </c>
      <c r="AA254" s="477" t="s">
        <v>388</v>
      </c>
      <c r="AB254" s="438" t="s">
        <v>898</v>
      </c>
      <c r="AC254" s="459" t="str">
        <f t="shared" si="3"/>
        <v>大阪府羽曳野市</v>
      </c>
      <c r="AD254" s="460">
        <v>10.42</v>
      </c>
      <c r="AE254" s="438">
        <v>10.33</v>
      </c>
      <c r="AF254" s="459">
        <v>10.27</v>
      </c>
      <c r="AG254" s="417"/>
      <c r="AH254" s="417"/>
    </row>
    <row r="255" spans="22:34">
      <c r="V255" s="4" t="s">
        <v>286</v>
      </c>
      <c r="W255" s="4" t="s">
        <v>899</v>
      </c>
      <c r="X255" s="2"/>
      <c r="Y255" s="435" t="s">
        <v>679</v>
      </c>
      <c r="Z255" s="436">
        <v>0.06</v>
      </c>
      <c r="AA255" s="477" t="s">
        <v>388</v>
      </c>
      <c r="AB255" s="438" t="s">
        <v>900</v>
      </c>
      <c r="AC255" s="459" t="str">
        <f t="shared" si="3"/>
        <v>大阪府藤井寺市</v>
      </c>
      <c r="AD255" s="460">
        <v>10.42</v>
      </c>
      <c r="AE255" s="438">
        <v>10.33</v>
      </c>
      <c r="AF255" s="459">
        <v>10.27</v>
      </c>
      <c r="AG255" s="417"/>
      <c r="AH255" s="417"/>
    </row>
    <row r="256" spans="22:34">
      <c r="V256" s="4" t="s">
        <v>286</v>
      </c>
      <c r="W256" s="4" t="s">
        <v>901</v>
      </c>
      <c r="X256" s="2"/>
      <c r="Y256" s="435" t="s">
        <v>679</v>
      </c>
      <c r="Z256" s="436">
        <v>0.06</v>
      </c>
      <c r="AA256" s="477" t="s">
        <v>388</v>
      </c>
      <c r="AB256" s="438" t="s">
        <v>902</v>
      </c>
      <c r="AC256" s="459" t="str">
        <f t="shared" si="3"/>
        <v>大阪府泉南市</v>
      </c>
      <c r="AD256" s="460">
        <v>10.42</v>
      </c>
      <c r="AE256" s="438">
        <v>10.33</v>
      </c>
      <c r="AF256" s="459">
        <v>10.27</v>
      </c>
      <c r="AG256" s="417"/>
      <c r="AH256" s="417"/>
    </row>
    <row r="257" spans="22:34">
      <c r="V257" s="4" t="s">
        <v>286</v>
      </c>
      <c r="W257" s="4" t="s">
        <v>903</v>
      </c>
      <c r="X257" s="2"/>
      <c r="Y257" s="435" t="s">
        <v>679</v>
      </c>
      <c r="Z257" s="436">
        <v>0.06</v>
      </c>
      <c r="AA257" s="477" t="s">
        <v>388</v>
      </c>
      <c r="AB257" s="438" t="s">
        <v>904</v>
      </c>
      <c r="AC257" s="459" t="str">
        <f t="shared" si="3"/>
        <v>大阪府大阪狭山市</v>
      </c>
      <c r="AD257" s="460">
        <v>10.42</v>
      </c>
      <c r="AE257" s="438">
        <v>10.33</v>
      </c>
      <c r="AF257" s="459">
        <v>10.27</v>
      </c>
      <c r="AG257" s="417"/>
      <c r="AH257" s="417"/>
    </row>
    <row r="258" spans="22:34">
      <c r="V258" s="4" t="s">
        <v>286</v>
      </c>
      <c r="W258" s="4" t="s">
        <v>905</v>
      </c>
      <c r="X258" s="2"/>
      <c r="Y258" s="435" t="s">
        <v>679</v>
      </c>
      <c r="Z258" s="436">
        <v>0.06</v>
      </c>
      <c r="AA258" s="477" t="s">
        <v>388</v>
      </c>
      <c r="AB258" s="438" t="s">
        <v>906</v>
      </c>
      <c r="AC258" s="459" t="str">
        <f t="shared" si="3"/>
        <v>大阪府阪南市</v>
      </c>
      <c r="AD258" s="460">
        <v>10.42</v>
      </c>
      <c r="AE258" s="438">
        <v>10.33</v>
      </c>
      <c r="AF258" s="459">
        <v>10.27</v>
      </c>
      <c r="AG258" s="417"/>
      <c r="AH258" s="417"/>
    </row>
    <row r="259" spans="22:34">
      <c r="V259" s="4" t="s">
        <v>286</v>
      </c>
      <c r="W259" s="4" t="s">
        <v>907</v>
      </c>
      <c r="X259" s="2"/>
      <c r="Y259" s="435" t="s">
        <v>679</v>
      </c>
      <c r="Z259" s="436">
        <v>0.06</v>
      </c>
      <c r="AA259" s="477" t="s">
        <v>388</v>
      </c>
      <c r="AB259" s="438" t="s">
        <v>908</v>
      </c>
      <c r="AC259" s="459" t="str">
        <f t="shared" si="3"/>
        <v>大阪府島本町</v>
      </c>
      <c r="AD259" s="460">
        <v>10.42</v>
      </c>
      <c r="AE259" s="438">
        <v>10.33</v>
      </c>
      <c r="AF259" s="459">
        <v>10.27</v>
      </c>
      <c r="AG259" s="417"/>
      <c r="AH259" s="417"/>
    </row>
    <row r="260" spans="22:34">
      <c r="V260" s="4" t="s">
        <v>286</v>
      </c>
      <c r="W260" s="4" t="s">
        <v>909</v>
      </c>
      <c r="X260" s="2"/>
      <c r="Y260" s="435" t="s">
        <v>679</v>
      </c>
      <c r="Z260" s="436">
        <v>0.06</v>
      </c>
      <c r="AA260" s="477" t="s">
        <v>388</v>
      </c>
      <c r="AB260" s="438" t="s">
        <v>910</v>
      </c>
      <c r="AC260" s="459" t="str">
        <f t="shared" ref="AC260:AC323" si="4">AA260&amp;AB260</f>
        <v>大阪府豊能町</v>
      </c>
      <c r="AD260" s="460">
        <v>10.42</v>
      </c>
      <c r="AE260" s="438">
        <v>10.33</v>
      </c>
      <c r="AF260" s="459">
        <v>10.27</v>
      </c>
      <c r="AG260" s="417"/>
      <c r="AH260" s="417"/>
    </row>
    <row r="261" spans="22:34">
      <c r="V261" s="4" t="s">
        <v>290</v>
      </c>
      <c r="W261" s="4" t="s">
        <v>680</v>
      </c>
      <c r="X261" s="2"/>
      <c r="Y261" s="435" t="s">
        <v>679</v>
      </c>
      <c r="Z261" s="436">
        <v>0.06</v>
      </c>
      <c r="AA261" s="477" t="s">
        <v>388</v>
      </c>
      <c r="AB261" s="438" t="s">
        <v>911</v>
      </c>
      <c r="AC261" s="459" t="str">
        <f t="shared" si="4"/>
        <v>大阪府能勢町</v>
      </c>
      <c r="AD261" s="460">
        <v>10.42</v>
      </c>
      <c r="AE261" s="438">
        <v>10.33</v>
      </c>
      <c r="AF261" s="459">
        <v>10.27</v>
      </c>
      <c r="AG261" s="417"/>
      <c r="AH261" s="417"/>
    </row>
    <row r="262" spans="22:34">
      <c r="V262" s="4" t="s">
        <v>290</v>
      </c>
      <c r="W262" s="4" t="s">
        <v>912</v>
      </c>
      <c r="X262" s="2"/>
      <c r="Y262" s="435" t="s">
        <v>679</v>
      </c>
      <c r="Z262" s="436">
        <v>0.06</v>
      </c>
      <c r="AA262" s="477" t="s">
        <v>388</v>
      </c>
      <c r="AB262" s="438" t="s">
        <v>913</v>
      </c>
      <c r="AC262" s="459" t="str">
        <f t="shared" si="4"/>
        <v>大阪府忠岡町</v>
      </c>
      <c r="AD262" s="460">
        <v>10.42</v>
      </c>
      <c r="AE262" s="438">
        <v>10.33</v>
      </c>
      <c r="AF262" s="459">
        <v>10.27</v>
      </c>
      <c r="AG262" s="417"/>
      <c r="AH262" s="417"/>
    </row>
    <row r="263" spans="22:34">
      <c r="V263" s="4" t="s">
        <v>290</v>
      </c>
      <c r="W263" s="4" t="s">
        <v>914</v>
      </c>
      <c r="X263" s="2"/>
      <c r="Y263" s="435" t="s">
        <v>679</v>
      </c>
      <c r="Z263" s="436">
        <v>0.06</v>
      </c>
      <c r="AA263" s="477" t="s">
        <v>388</v>
      </c>
      <c r="AB263" s="438" t="s">
        <v>915</v>
      </c>
      <c r="AC263" s="459" t="str">
        <f t="shared" si="4"/>
        <v>大阪府熊取町</v>
      </c>
      <c r="AD263" s="460">
        <v>10.42</v>
      </c>
      <c r="AE263" s="438">
        <v>10.33</v>
      </c>
      <c r="AF263" s="459">
        <v>10.27</v>
      </c>
      <c r="AG263" s="417"/>
      <c r="AH263" s="417"/>
    </row>
    <row r="264" spans="22:34">
      <c r="V264" s="4" t="s">
        <v>290</v>
      </c>
      <c r="W264" s="4" t="s">
        <v>916</v>
      </c>
      <c r="X264" s="2"/>
      <c r="Y264" s="435" t="s">
        <v>679</v>
      </c>
      <c r="Z264" s="436">
        <v>0.06</v>
      </c>
      <c r="AA264" s="477" t="s">
        <v>388</v>
      </c>
      <c r="AB264" s="438" t="s">
        <v>917</v>
      </c>
      <c r="AC264" s="459" t="str">
        <f t="shared" si="4"/>
        <v>大阪府田尻町</v>
      </c>
      <c r="AD264" s="460">
        <v>10.42</v>
      </c>
      <c r="AE264" s="438">
        <v>10.33</v>
      </c>
      <c r="AF264" s="459">
        <v>10.27</v>
      </c>
      <c r="AG264" s="417"/>
      <c r="AH264" s="417"/>
    </row>
    <row r="265" spans="22:34">
      <c r="V265" s="4" t="s">
        <v>290</v>
      </c>
      <c r="W265" s="4" t="s">
        <v>918</v>
      </c>
      <c r="X265" s="2"/>
      <c r="Y265" s="435" t="s">
        <v>679</v>
      </c>
      <c r="Z265" s="436">
        <v>0.06</v>
      </c>
      <c r="AA265" s="477" t="s">
        <v>388</v>
      </c>
      <c r="AB265" s="438" t="s">
        <v>919</v>
      </c>
      <c r="AC265" s="459" t="str">
        <f t="shared" si="4"/>
        <v>大阪府岬町</v>
      </c>
      <c r="AD265" s="460">
        <v>10.42</v>
      </c>
      <c r="AE265" s="438">
        <v>10.33</v>
      </c>
      <c r="AF265" s="459">
        <v>10.27</v>
      </c>
      <c r="AG265" s="417"/>
      <c r="AH265" s="417"/>
    </row>
    <row r="266" spans="22:34">
      <c r="V266" s="4" t="s">
        <v>290</v>
      </c>
      <c r="W266" s="4" t="s">
        <v>920</v>
      </c>
      <c r="X266" s="2"/>
      <c r="Y266" s="435" t="s">
        <v>679</v>
      </c>
      <c r="Z266" s="436">
        <v>0.06</v>
      </c>
      <c r="AA266" s="477" t="s">
        <v>388</v>
      </c>
      <c r="AB266" s="438" t="s">
        <v>921</v>
      </c>
      <c r="AC266" s="459" t="str">
        <f t="shared" si="4"/>
        <v>大阪府太子町</v>
      </c>
      <c r="AD266" s="460">
        <v>10.42</v>
      </c>
      <c r="AE266" s="438">
        <v>10.33</v>
      </c>
      <c r="AF266" s="459">
        <v>10.27</v>
      </c>
      <c r="AG266" s="417"/>
      <c r="AH266" s="417"/>
    </row>
    <row r="267" spans="22:34">
      <c r="V267" s="4" t="s">
        <v>290</v>
      </c>
      <c r="W267" s="4" t="s">
        <v>922</v>
      </c>
      <c r="X267" s="2"/>
      <c r="Y267" s="435" t="s">
        <v>679</v>
      </c>
      <c r="Z267" s="436">
        <v>0.06</v>
      </c>
      <c r="AA267" s="477" t="s">
        <v>388</v>
      </c>
      <c r="AB267" s="438" t="s">
        <v>923</v>
      </c>
      <c r="AC267" s="459" t="str">
        <f t="shared" si="4"/>
        <v>大阪府河南町</v>
      </c>
      <c r="AD267" s="460">
        <v>10.42</v>
      </c>
      <c r="AE267" s="438">
        <v>10.33</v>
      </c>
      <c r="AF267" s="459">
        <v>10.27</v>
      </c>
      <c r="AG267" s="417"/>
      <c r="AH267" s="417"/>
    </row>
    <row r="268" spans="22:34">
      <c r="V268" s="4" t="s">
        <v>290</v>
      </c>
      <c r="W268" s="4" t="s">
        <v>924</v>
      </c>
      <c r="X268" s="2"/>
      <c r="Y268" s="435" t="s">
        <v>679</v>
      </c>
      <c r="Z268" s="436">
        <v>0.06</v>
      </c>
      <c r="AA268" s="477" t="s">
        <v>388</v>
      </c>
      <c r="AB268" s="438" t="s">
        <v>925</v>
      </c>
      <c r="AC268" s="459" t="str">
        <f t="shared" si="4"/>
        <v>大阪府千早赤阪村</v>
      </c>
      <c r="AD268" s="460">
        <v>10.42</v>
      </c>
      <c r="AE268" s="438">
        <v>10.33</v>
      </c>
      <c r="AF268" s="459">
        <v>10.27</v>
      </c>
      <c r="AG268" s="417"/>
      <c r="AH268" s="417"/>
    </row>
    <row r="269" spans="22:34">
      <c r="V269" s="4" t="s">
        <v>290</v>
      </c>
      <c r="W269" s="4" t="s">
        <v>926</v>
      </c>
      <c r="X269" s="2"/>
      <c r="Y269" s="435" t="s">
        <v>679</v>
      </c>
      <c r="Z269" s="436">
        <v>0.06</v>
      </c>
      <c r="AA269" s="477" t="s">
        <v>392</v>
      </c>
      <c r="AB269" s="438" t="s">
        <v>927</v>
      </c>
      <c r="AC269" s="459" t="str">
        <f t="shared" si="4"/>
        <v>兵庫県明石市</v>
      </c>
      <c r="AD269" s="460">
        <v>10.42</v>
      </c>
      <c r="AE269" s="438">
        <v>10.33</v>
      </c>
      <c r="AF269" s="459">
        <v>10.27</v>
      </c>
      <c r="AG269" s="417"/>
      <c r="AH269" s="417"/>
    </row>
    <row r="270" spans="22:34">
      <c r="V270" s="4" t="s">
        <v>290</v>
      </c>
      <c r="W270" s="4" t="s">
        <v>928</v>
      </c>
      <c r="X270" s="2"/>
      <c r="Y270" s="435" t="s">
        <v>679</v>
      </c>
      <c r="Z270" s="436">
        <v>0.06</v>
      </c>
      <c r="AA270" s="477" t="s">
        <v>392</v>
      </c>
      <c r="AB270" s="438" t="s">
        <v>929</v>
      </c>
      <c r="AC270" s="459" t="str">
        <f t="shared" si="4"/>
        <v>兵庫県猪名川町</v>
      </c>
      <c r="AD270" s="460">
        <v>10.42</v>
      </c>
      <c r="AE270" s="438">
        <v>10.33</v>
      </c>
      <c r="AF270" s="459">
        <v>10.27</v>
      </c>
      <c r="AG270" s="417"/>
      <c r="AH270" s="417"/>
    </row>
    <row r="271" spans="22:34">
      <c r="V271" s="4" t="s">
        <v>290</v>
      </c>
      <c r="W271" s="4" t="s">
        <v>930</v>
      </c>
      <c r="X271" s="2"/>
      <c r="Y271" s="435" t="s">
        <v>679</v>
      </c>
      <c r="Z271" s="436">
        <v>0.06</v>
      </c>
      <c r="AA271" s="477" t="s">
        <v>397</v>
      </c>
      <c r="AB271" s="438" t="s">
        <v>931</v>
      </c>
      <c r="AC271" s="459" t="str">
        <f t="shared" si="4"/>
        <v>奈良県奈良市</v>
      </c>
      <c r="AD271" s="460">
        <v>10.42</v>
      </c>
      <c r="AE271" s="438">
        <v>10.33</v>
      </c>
      <c r="AF271" s="459">
        <v>10.27</v>
      </c>
      <c r="AG271" s="417"/>
      <c r="AH271" s="417"/>
    </row>
    <row r="272" spans="22:34">
      <c r="V272" s="4" t="s">
        <v>290</v>
      </c>
      <c r="W272" s="4" t="s">
        <v>932</v>
      </c>
      <c r="X272" s="2"/>
      <c r="Y272" s="435" t="s">
        <v>679</v>
      </c>
      <c r="Z272" s="436">
        <v>0.06</v>
      </c>
      <c r="AA272" s="477" t="s">
        <v>397</v>
      </c>
      <c r="AB272" s="438" t="s">
        <v>933</v>
      </c>
      <c r="AC272" s="459" t="str">
        <f t="shared" si="4"/>
        <v>奈良県大和郡山市</v>
      </c>
      <c r="AD272" s="460">
        <v>10.42</v>
      </c>
      <c r="AE272" s="438">
        <v>10.33</v>
      </c>
      <c r="AF272" s="459">
        <v>10.27</v>
      </c>
      <c r="AG272" s="417"/>
      <c r="AH272" s="417"/>
    </row>
    <row r="273" spans="22:34">
      <c r="V273" s="4" t="s">
        <v>290</v>
      </c>
      <c r="W273" s="4" t="s">
        <v>934</v>
      </c>
      <c r="X273" s="2"/>
      <c r="Y273" s="435" t="s">
        <v>679</v>
      </c>
      <c r="Z273" s="436">
        <v>0.06</v>
      </c>
      <c r="AA273" s="477" t="s">
        <v>397</v>
      </c>
      <c r="AB273" s="438" t="s">
        <v>935</v>
      </c>
      <c r="AC273" s="459" t="str">
        <f t="shared" si="4"/>
        <v>奈良県生駒市</v>
      </c>
      <c r="AD273" s="460">
        <v>10.42</v>
      </c>
      <c r="AE273" s="438">
        <v>10.33</v>
      </c>
      <c r="AF273" s="459">
        <v>10.27</v>
      </c>
      <c r="AG273" s="417"/>
      <c r="AH273" s="417"/>
    </row>
    <row r="274" spans="22:34">
      <c r="V274" s="4" t="s">
        <v>290</v>
      </c>
      <c r="W274" s="4" t="s">
        <v>936</v>
      </c>
      <c r="X274" s="2"/>
      <c r="Y274" s="435" t="s">
        <v>679</v>
      </c>
      <c r="Z274" s="436">
        <v>0.06</v>
      </c>
      <c r="AA274" s="477" t="s">
        <v>401</v>
      </c>
      <c r="AB274" s="438" t="s">
        <v>937</v>
      </c>
      <c r="AC274" s="459" t="str">
        <f t="shared" si="4"/>
        <v>和歌山県和歌山市</v>
      </c>
      <c r="AD274" s="460">
        <v>10.42</v>
      </c>
      <c r="AE274" s="438">
        <v>10.33</v>
      </c>
      <c r="AF274" s="459">
        <v>10.27</v>
      </c>
      <c r="AG274" s="417"/>
      <c r="AH274" s="417"/>
    </row>
    <row r="275" spans="22:34">
      <c r="V275" s="4" t="s">
        <v>290</v>
      </c>
      <c r="W275" s="4" t="s">
        <v>938</v>
      </c>
      <c r="X275" s="2"/>
      <c r="Y275" s="435" t="s">
        <v>679</v>
      </c>
      <c r="Z275" s="436">
        <v>0.06</v>
      </c>
      <c r="AA275" s="477" t="s">
        <v>401</v>
      </c>
      <c r="AB275" s="438" t="s">
        <v>939</v>
      </c>
      <c r="AC275" s="459" t="str">
        <f t="shared" si="4"/>
        <v>和歌山県橋本市</v>
      </c>
      <c r="AD275" s="460">
        <v>10.42</v>
      </c>
      <c r="AE275" s="438">
        <v>10.33</v>
      </c>
      <c r="AF275" s="459">
        <v>10.27</v>
      </c>
      <c r="AG275" s="417"/>
      <c r="AH275" s="417"/>
    </row>
    <row r="276" spans="22:34">
      <c r="V276" s="4" t="s">
        <v>290</v>
      </c>
      <c r="W276" s="4" t="s">
        <v>940</v>
      </c>
      <c r="X276" s="2"/>
      <c r="Y276" s="435" t="s">
        <v>679</v>
      </c>
      <c r="Z276" s="436">
        <v>0.06</v>
      </c>
      <c r="AA276" s="477" t="s">
        <v>446</v>
      </c>
      <c r="AB276" s="438" t="s">
        <v>941</v>
      </c>
      <c r="AC276" s="459" t="str">
        <f t="shared" si="4"/>
        <v>福岡県大野城市</v>
      </c>
      <c r="AD276" s="460">
        <v>10.42</v>
      </c>
      <c r="AE276" s="438">
        <v>10.33</v>
      </c>
      <c r="AF276" s="459">
        <v>10.27</v>
      </c>
      <c r="AG276" s="417"/>
      <c r="AH276" s="417"/>
    </row>
    <row r="277" spans="22:34">
      <c r="V277" s="4" t="s">
        <v>290</v>
      </c>
      <c r="W277" s="4" t="s">
        <v>942</v>
      </c>
      <c r="X277" s="2"/>
      <c r="Y277" s="435" t="s">
        <v>679</v>
      </c>
      <c r="Z277" s="436">
        <v>0.06</v>
      </c>
      <c r="AA277" s="477" t="s">
        <v>446</v>
      </c>
      <c r="AB277" s="438" t="s">
        <v>943</v>
      </c>
      <c r="AC277" s="459" t="str">
        <f t="shared" si="4"/>
        <v>福岡県太宰府市</v>
      </c>
      <c r="AD277" s="460">
        <v>10.42</v>
      </c>
      <c r="AE277" s="438">
        <v>10.33</v>
      </c>
      <c r="AF277" s="459">
        <v>10.27</v>
      </c>
      <c r="AG277" s="417"/>
      <c r="AH277" s="417"/>
    </row>
    <row r="278" spans="22:34">
      <c r="V278" s="4" t="s">
        <v>290</v>
      </c>
      <c r="W278" s="4" t="s">
        <v>944</v>
      </c>
      <c r="X278" s="2"/>
      <c r="Y278" s="435" t="s">
        <v>679</v>
      </c>
      <c r="Z278" s="436">
        <v>0.06</v>
      </c>
      <c r="AA278" s="477" t="s">
        <v>446</v>
      </c>
      <c r="AB278" s="438" t="s">
        <v>945</v>
      </c>
      <c r="AC278" s="459" t="str">
        <f t="shared" si="4"/>
        <v>福岡県福津市</v>
      </c>
      <c r="AD278" s="460">
        <v>10.42</v>
      </c>
      <c r="AE278" s="438">
        <v>10.33</v>
      </c>
      <c r="AF278" s="459">
        <v>10.27</v>
      </c>
      <c r="AG278" s="417"/>
      <c r="AH278" s="417"/>
    </row>
    <row r="279" spans="22:34">
      <c r="V279" s="4" t="s">
        <v>290</v>
      </c>
      <c r="W279" s="4" t="s">
        <v>946</v>
      </c>
      <c r="X279" s="2"/>
      <c r="Y279" s="435" t="s">
        <v>679</v>
      </c>
      <c r="Z279" s="436">
        <v>0.06</v>
      </c>
      <c r="AA279" s="477" t="s">
        <v>446</v>
      </c>
      <c r="AB279" s="438" t="s">
        <v>947</v>
      </c>
      <c r="AC279" s="459" t="str">
        <f t="shared" si="4"/>
        <v>福岡県糸島市</v>
      </c>
      <c r="AD279" s="460">
        <v>10.42</v>
      </c>
      <c r="AE279" s="438">
        <v>10.33</v>
      </c>
      <c r="AF279" s="459">
        <v>10.27</v>
      </c>
      <c r="AG279" s="417"/>
      <c r="AH279" s="417"/>
    </row>
    <row r="280" spans="22:34">
      <c r="V280" s="4" t="s">
        <v>290</v>
      </c>
      <c r="W280" s="4" t="s">
        <v>948</v>
      </c>
      <c r="X280" s="2"/>
      <c r="Y280" s="435" t="s">
        <v>679</v>
      </c>
      <c r="Z280" s="436">
        <v>0.06</v>
      </c>
      <c r="AA280" s="477" t="s">
        <v>446</v>
      </c>
      <c r="AB280" s="438" t="s">
        <v>949</v>
      </c>
      <c r="AC280" s="459" t="str">
        <f t="shared" si="4"/>
        <v>福岡県那珂川市</v>
      </c>
      <c r="AD280" s="460">
        <v>10.42</v>
      </c>
      <c r="AE280" s="438">
        <v>10.33</v>
      </c>
      <c r="AF280" s="459">
        <v>10.27</v>
      </c>
      <c r="AG280" s="417"/>
      <c r="AH280" s="417"/>
    </row>
    <row r="281" spans="22:34" ht="13.8" thickBot="1">
      <c r="V281" s="4" t="s">
        <v>290</v>
      </c>
      <c r="W281" s="4" t="s">
        <v>950</v>
      </c>
      <c r="X281" s="2"/>
      <c r="Y281" s="461" t="s">
        <v>679</v>
      </c>
      <c r="Z281" s="462">
        <v>0.06</v>
      </c>
      <c r="AA281" s="481" t="s">
        <v>446</v>
      </c>
      <c r="AB281" s="464" t="s">
        <v>951</v>
      </c>
      <c r="AC281" s="465" t="str">
        <f t="shared" si="4"/>
        <v>福岡県粕屋町</v>
      </c>
      <c r="AD281" s="482">
        <v>10.42</v>
      </c>
      <c r="AE281" s="464">
        <v>10.33</v>
      </c>
      <c r="AF281" s="467">
        <v>10.27</v>
      </c>
      <c r="AG281" s="417"/>
      <c r="AH281" s="417"/>
    </row>
    <row r="282" spans="22:34">
      <c r="V282" s="4" t="s">
        <v>290</v>
      </c>
      <c r="W282" s="4" t="s">
        <v>952</v>
      </c>
      <c r="X282" s="2"/>
      <c r="Y282" s="427" t="s">
        <v>953</v>
      </c>
      <c r="Z282" s="428">
        <v>0.03</v>
      </c>
      <c r="AA282" s="476" t="s">
        <v>276</v>
      </c>
      <c r="AB282" s="430" t="s">
        <v>277</v>
      </c>
      <c r="AC282" s="431" t="str">
        <f t="shared" si="4"/>
        <v>北海道札幌市</v>
      </c>
      <c r="AD282" s="457">
        <v>10.210000000000001</v>
      </c>
      <c r="AE282" s="430">
        <v>10.17</v>
      </c>
      <c r="AF282" s="456">
        <v>10.14</v>
      </c>
      <c r="AG282" s="417"/>
      <c r="AH282" s="417"/>
    </row>
    <row r="283" spans="22:34">
      <c r="V283" s="4" t="s">
        <v>290</v>
      </c>
      <c r="W283" s="4" t="s">
        <v>954</v>
      </c>
      <c r="X283" s="2"/>
      <c r="Y283" s="435" t="s">
        <v>953</v>
      </c>
      <c r="Z283" s="436">
        <v>0.03</v>
      </c>
      <c r="AA283" s="483" t="s">
        <v>308</v>
      </c>
      <c r="AB283" s="438" t="s">
        <v>955</v>
      </c>
      <c r="AC283" s="439" t="str">
        <f t="shared" si="4"/>
        <v>茨城県結城市</v>
      </c>
      <c r="AD283" s="460">
        <v>10.210000000000001</v>
      </c>
      <c r="AE283" s="438">
        <v>10.17</v>
      </c>
      <c r="AF283" s="459">
        <v>10.14</v>
      </c>
      <c r="AG283" s="417"/>
      <c r="AH283" s="417"/>
    </row>
    <row r="284" spans="22:34">
      <c r="V284" s="4" t="s">
        <v>290</v>
      </c>
      <c r="W284" s="4" t="s">
        <v>956</v>
      </c>
      <c r="X284" s="2"/>
      <c r="Y284" s="435" t="s">
        <v>953</v>
      </c>
      <c r="Z284" s="436">
        <v>0.03</v>
      </c>
      <c r="AA284" s="483" t="s">
        <v>308</v>
      </c>
      <c r="AB284" s="438" t="s">
        <v>957</v>
      </c>
      <c r="AC284" s="439" t="str">
        <f t="shared" si="4"/>
        <v>茨城県下妻市</v>
      </c>
      <c r="AD284" s="460">
        <v>10.210000000000001</v>
      </c>
      <c r="AE284" s="438">
        <v>10.17</v>
      </c>
      <c r="AF284" s="459">
        <v>10.14</v>
      </c>
      <c r="AG284" s="417"/>
      <c r="AH284" s="417"/>
    </row>
    <row r="285" spans="22:34">
      <c r="V285" s="4" t="s">
        <v>290</v>
      </c>
      <c r="W285" s="4" t="s">
        <v>958</v>
      </c>
      <c r="X285" s="2"/>
      <c r="Y285" s="435" t="s">
        <v>953</v>
      </c>
      <c r="Z285" s="436">
        <v>0.03</v>
      </c>
      <c r="AA285" s="483" t="s">
        <v>308</v>
      </c>
      <c r="AB285" s="438" t="s">
        <v>959</v>
      </c>
      <c r="AC285" s="439" t="str">
        <f t="shared" si="4"/>
        <v>茨城県常総市</v>
      </c>
      <c r="AD285" s="460">
        <v>10.210000000000001</v>
      </c>
      <c r="AE285" s="438">
        <v>10.17</v>
      </c>
      <c r="AF285" s="459">
        <v>10.14</v>
      </c>
      <c r="AG285" s="417"/>
      <c r="AH285" s="417"/>
    </row>
    <row r="286" spans="22:34">
      <c r="V286" s="4" t="s">
        <v>290</v>
      </c>
      <c r="W286" s="4" t="s">
        <v>960</v>
      </c>
      <c r="X286" s="2"/>
      <c r="Y286" s="435" t="s">
        <v>953</v>
      </c>
      <c r="Z286" s="436">
        <v>0.03</v>
      </c>
      <c r="AA286" s="483" t="s">
        <v>308</v>
      </c>
      <c r="AB286" s="438" t="s">
        <v>961</v>
      </c>
      <c r="AC286" s="439" t="str">
        <f t="shared" si="4"/>
        <v>茨城県笠間市</v>
      </c>
      <c r="AD286" s="460">
        <v>10.210000000000001</v>
      </c>
      <c r="AE286" s="438">
        <v>10.17</v>
      </c>
      <c r="AF286" s="459">
        <v>10.14</v>
      </c>
      <c r="AG286" s="417"/>
      <c r="AH286" s="417"/>
    </row>
    <row r="287" spans="22:34">
      <c r="V287" s="4" t="s">
        <v>290</v>
      </c>
      <c r="W287" s="4" t="s">
        <v>962</v>
      </c>
      <c r="X287" s="2"/>
      <c r="Y287" s="435" t="s">
        <v>953</v>
      </c>
      <c r="Z287" s="436">
        <v>0.03</v>
      </c>
      <c r="AA287" s="483" t="s">
        <v>308</v>
      </c>
      <c r="AB287" s="438" t="s">
        <v>963</v>
      </c>
      <c r="AC287" s="439" t="str">
        <f t="shared" si="4"/>
        <v>茨城県ひたちなか市</v>
      </c>
      <c r="AD287" s="460">
        <v>10.210000000000001</v>
      </c>
      <c r="AE287" s="438">
        <v>10.17</v>
      </c>
      <c r="AF287" s="459">
        <v>10.14</v>
      </c>
      <c r="AG287" s="417"/>
      <c r="AH287" s="417"/>
    </row>
    <row r="288" spans="22:34">
      <c r="V288" s="4" t="s">
        <v>290</v>
      </c>
      <c r="W288" s="4" t="s">
        <v>964</v>
      </c>
      <c r="X288" s="2"/>
      <c r="Y288" s="435" t="s">
        <v>953</v>
      </c>
      <c r="Z288" s="436">
        <v>0.03</v>
      </c>
      <c r="AA288" s="483" t="s">
        <v>308</v>
      </c>
      <c r="AB288" s="438" t="s">
        <v>965</v>
      </c>
      <c r="AC288" s="439" t="str">
        <f t="shared" si="4"/>
        <v>茨城県那珂市</v>
      </c>
      <c r="AD288" s="460">
        <v>10.210000000000001</v>
      </c>
      <c r="AE288" s="438">
        <v>10.17</v>
      </c>
      <c r="AF288" s="459">
        <v>10.14</v>
      </c>
      <c r="AG288" s="417"/>
      <c r="AH288" s="417"/>
    </row>
    <row r="289" spans="22:34">
      <c r="V289" s="4" t="s">
        <v>290</v>
      </c>
      <c r="W289" s="4" t="s">
        <v>966</v>
      </c>
      <c r="X289" s="2"/>
      <c r="Y289" s="435" t="s">
        <v>953</v>
      </c>
      <c r="Z289" s="436">
        <v>0.03</v>
      </c>
      <c r="AA289" s="483" t="s">
        <v>308</v>
      </c>
      <c r="AB289" s="438" t="s">
        <v>967</v>
      </c>
      <c r="AC289" s="439" t="str">
        <f t="shared" si="4"/>
        <v>茨城県筑西市</v>
      </c>
      <c r="AD289" s="460">
        <v>10.210000000000001</v>
      </c>
      <c r="AE289" s="438">
        <v>10.17</v>
      </c>
      <c r="AF289" s="459">
        <v>10.14</v>
      </c>
      <c r="AG289" s="417"/>
      <c r="AH289" s="417"/>
    </row>
    <row r="290" spans="22:34">
      <c r="V290" s="4" t="s">
        <v>290</v>
      </c>
      <c r="W290" s="4" t="s">
        <v>968</v>
      </c>
      <c r="X290" s="2"/>
      <c r="Y290" s="435" t="s">
        <v>953</v>
      </c>
      <c r="Z290" s="436">
        <v>0.03</v>
      </c>
      <c r="AA290" s="483" t="s">
        <v>308</v>
      </c>
      <c r="AB290" s="438" t="s">
        <v>969</v>
      </c>
      <c r="AC290" s="439" t="str">
        <f t="shared" si="4"/>
        <v>茨城県坂東市</v>
      </c>
      <c r="AD290" s="460">
        <v>10.210000000000001</v>
      </c>
      <c r="AE290" s="438">
        <v>10.17</v>
      </c>
      <c r="AF290" s="459">
        <v>10.14</v>
      </c>
      <c r="AG290" s="417"/>
      <c r="AH290" s="417"/>
    </row>
    <row r="291" spans="22:34">
      <c r="V291" s="4" t="s">
        <v>290</v>
      </c>
      <c r="W291" s="4" t="s">
        <v>970</v>
      </c>
      <c r="X291" s="2"/>
      <c r="Y291" s="435" t="s">
        <v>953</v>
      </c>
      <c r="Z291" s="436">
        <v>0.03</v>
      </c>
      <c r="AA291" s="483" t="s">
        <v>308</v>
      </c>
      <c r="AB291" s="438" t="s">
        <v>971</v>
      </c>
      <c r="AC291" s="439" t="str">
        <f t="shared" si="4"/>
        <v>茨城県稲敷市</v>
      </c>
      <c r="AD291" s="460">
        <v>10.210000000000001</v>
      </c>
      <c r="AE291" s="438">
        <v>10.17</v>
      </c>
      <c r="AF291" s="459">
        <v>10.14</v>
      </c>
      <c r="AG291" s="417"/>
      <c r="AH291" s="417"/>
    </row>
    <row r="292" spans="22:34">
      <c r="V292" s="4" t="s">
        <v>290</v>
      </c>
      <c r="W292" s="4" t="s">
        <v>972</v>
      </c>
      <c r="X292" s="2"/>
      <c r="Y292" s="435" t="s">
        <v>953</v>
      </c>
      <c r="Z292" s="436">
        <v>0.03</v>
      </c>
      <c r="AA292" s="483" t="s">
        <v>308</v>
      </c>
      <c r="AB292" s="438" t="s">
        <v>973</v>
      </c>
      <c r="AC292" s="439" t="str">
        <f t="shared" si="4"/>
        <v>茨城県つくばみらい市</v>
      </c>
      <c r="AD292" s="460">
        <v>10.210000000000001</v>
      </c>
      <c r="AE292" s="438">
        <v>10.17</v>
      </c>
      <c r="AF292" s="459">
        <v>10.14</v>
      </c>
      <c r="AG292" s="417"/>
      <c r="AH292" s="417"/>
    </row>
    <row r="293" spans="22:34">
      <c r="V293" s="4" t="s">
        <v>290</v>
      </c>
      <c r="W293" s="4" t="s">
        <v>974</v>
      </c>
      <c r="X293" s="2"/>
      <c r="Y293" s="435" t="s">
        <v>953</v>
      </c>
      <c r="Z293" s="436">
        <v>0.03</v>
      </c>
      <c r="AA293" s="483" t="s">
        <v>308</v>
      </c>
      <c r="AB293" s="438" t="s">
        <v>975</v>
      </c>
      <c r="AC293" s="439" t="str">
        <f t="shared" si="4"/>
        <v>茨城県大洗町</v>
      </c>
      <c r="AD293" s="460">
        <v>10.210000000000001</v>
      </c>
      <c r="AE293" s="438">
        <v>10.17</v>
      </c>
      <c r="AF293" s="459">
        <v>10.14</v>
      </c>
      <c r="AG293" s="417"/>
      <c r="AH293" s="417"/>
    </row>
    <row r="294" spans="22:34">
      <c r="V294" s="4" t="s">
        <v>290</v>
      </c>
      <c r="W294" s="4" t="s">
        <v>976</v>
      </c>
      <c r="X294" s="2"/>
      <c r="Y294" s="435" t="s">
        <v>953</v>
      </c>
      <c r="Z294" s="436">
        <v>0.03</v>
      </c>
      <c r="AA294" s="483" t="s">
        <v>308</v>
      </c>
      <c r="AB294" s="438" t="s">
        <v>977</v>
      </c>
      <c r="AC294" s="439" t="str">
        <f t="shared" si="4"/>
        <v>茨城県阿見町</v>
      </c>
      <c r="AD294" s="460">
        <v>10.210000000000001</v>
      </c>
      <c r="AE294" s="438">
        <v>10.17</v>
      </c>
      <c r="AF294" s="459">
        <v>10.14</v>
      </c>
      <c r="AG294" s="417"/>
      <c r="AH294" s="417"/>
    </row>
    <row r="295" spans="22:34">
      <c r="V295" s="4" t="s">
        <v>290</v>
      </c>
      <c r="W295" s="4" t="s">
        <v>978</v>
      </c>
      <c r="X295" s="2"/>
      <c r="Y295" s="435" t="s">
        <v>953</v>
      </c>
      <c r="Z295" s="436">
        <v>0.03</v>
      </c>
      <c r="AA295" s="483" t="s">
        <v>308</v>
      </c>
      <c r="AB295" s="438" t="s">
        <v>979</v>
      </c>
      <c r="AC295" s="439" t="str">
        <f t="shared" si="4"/>
        <v>茨城県河内町</v>
      </c>
      <c r="AD295" s="460">
        <v>10.210000000000001</v>
      </c>
      <c r="AE295" s="438">
        <v>10.17</v>
      </c>
      <c r="AF295" s="459">
        <v>10.14</v>
      </c>
      <c r="AG295" s="417"/>
      <c r="AH295" s="417"/>
    </row>
    <row r="296" spans="22:34">
      <c r="V296" s="4" t="s">
        <v>294</v>
      </c>
      <c r="W296" s="4" t="s">
        <v>980</v>
      </c>
      <c r="X296" s="2"/>
      <c r="Y296" s="435" t="s">
        <v>953</v>
      </c>
      <c r="Z296" s="436">
        <v>0.03</v>
      </c>
      <c r="AA296" s="483" t="s">
        <v>308</v>
      </c>
      <c r="AB296" s="438" t="s">
        <v>981</v>
      </c>
      <c r="AC296" s="439" t="str">
        <f t="shared" si="4"/>
        <v>茨城県八千代町</v>
      </c>
      <c r="AD296" s="460">
        <v>10.210000000000001</v>
      </c>
      <c r="AE296" s="438">
        <v>10.17</v>
      </c>
      <c r="AF296" s="459">
        <v>10.14</v>
      </c>
      <c r="AG296" s="417"/>
      <c r="AH296" s="417"/>
    </row>
    <row r="297" spans="22:34">
      <c r="V297" s="4" t="s">
        <v>294</v>
      </c>
      <c r="W297" s="4" t="s">
        <v>982</v>
      </c>
      <c r="X297" s="2"/>
      <c r="Y297" s="435" t="s">
        <v>953</v>
      </c>
      <c r="Z297" s="436">
        <v>0.03</v>
      </c>
      <c r="AA297" s="483" t="s">
        <v>308</v>
      </c>
      <c r="AB297" s="438" t="s">
        <v>983</v>
      </c>
      <c r="AC297" s="439" t="str">
        <f t="shared" si="4"/>
        <v>茨城県五霞町</v>
      </c>
      <c r="AD297" s="460">
        <v>10.210000000000001</v>
      </c>
      <c r="AE297" s="438">
        <v>10.17</v>
      </c>
      <c r="AF297" s="459">
        <v>10.14</v>
      </c>
      <c r="AG297" s="417"/>
      <c r="AH297" s="417"/>
    </row>
    <row r="298" spans="22:34">
      <c r="V298" s="4" t="s">
        <v>294</v>
      </c>
      <c r="W298" s="4" t="s">
        <v>984</v>
      </c>
      <c r="X298" s="2"/>
      <c r="Y298" s="435" t="s">
        <v>953</v>
      </c>
      <c r="Z298" s="436">
        <v>0.03</v>
      </c>
      <c r="AA298" s="483" t="s">
        <v>308</v>
      </c>
      <c r="AB298" s="438" t="s">
        <v>985</v>
      </c>
      <c r="AC298" s="439" t="str">
        <f t="shared" si="4"/>
        <v>茨城県境町</v>
      </c>
      <c r="AD298" s="460">
        <v>10.210000000000001</v>
      </c>
      <c r="AE298" s="438">
        <v>10.17</v>
      </c>
      <c r="AF298" s="459">
        <v>10.14</v>
      </c>
      <c r="AG298" s="417"/>
      <c r="AH298" s="417"/>
    </row>
    <row r="299" spans="22:34">
      <c r="V299" s="4" t="s">
        <v>294</v>
      </c>
      <c r="W299" s="4" t="s">
        <v>986</v>
      </c>
      <c r="X299" s="2"/>
      <c r="Y299" s="435" t="s">
        <v>953</v>
      </c>
      <c r="Z299" s="436">
        <v>0.03</v>
      </c>
      <c r="AA299" s="483" t="s">
        <v>312</v>
      </c>
      <c r="AB299" s="438" t="s">
        <v>987</v>
      </c>
      <c r="AC299" s="439" t="str">
        <f t="shared" si="4"/>
        <v>栃木県栃木市</v>
      </c>
      <c r="AD299" s="460">
        <v>10.210000000000001</v>
      </c>
      <c r="AE299" s="438">
        <v>10.17</v>
      </c>
      <c r="AF299" s="459">
        <v>10.14</v>
      </c>
      <c r="AG299" s="417"/>
      <c r="AH299" s="417"/>
    </row>
    <row r="300" spans="22:34">
      <c r="V300" s="4" t="s">
        <v>294</v>
      </c>
      <c r="W300" s="4" t="s">
        <v>988</v>
      </c>
      <c r="X300" s="2"/>
      <c r="Y300" s="435" t="s">
        <v>953</v>
      </c>
      <c r="Z300" s="436">
        <v>0.03</v>
      </c>
      <c r="AA300" s="483" t="s">
        <v>312</v>
      </c>
      <c r="AB300" s="438" t="s">
        <v>989</v>
      </c>
      <c r="AC300" s="439" t="str">
        <f t="shared" si="4"/>
        <v>栃木県鹿沼市</v>
      </c>
      <c r="AD300" s="460">
        <v>10.210000000000001</v>
      </c>
      <c r="AE300" s="438">
        <v>10.17</v>
      </c>
      <c r="AF300" s="459">
        <v>10.14</v>
      </c>
      <c r="AG300" s="417"/>
      <c r="AH300" s="417"/>
    </row>
    <row r="301" spans="22:34">
      <c r="V301" s="4" t="s">
        <v>294</v>
      </c>
      <c r="W301" s="4" t="s">
        <v>990</v>
      </c>
      <c r="X301" s="2"/>
      <c r="Y301" s="435" t="s">
        <v>953</v>
      </c>
      <c r="Z301" s="436">
        <v>0.03</v>
      </c>
      <c r="AA301" s="483" t="s">
        <v>312</v>
      </c>
      <c r="AB301" s="438" t="s">
        <v>991</v>
      </c>
      <c r="AC301" s="439" t="str">
        <f t="shared" si="4"/>
        <v>栃木県日光市</v>
      </c>
      <c r="AD301" s="460">
        <v>10.210000000000001</v>
      </c>
      <c r="AE301" s="438">
        <v>10.17</v>
      </c>
      <c r="AF301" s="459">
        <v>10.14</v>
      </c>
      <c r="AG301" s="417"/>
      <c r="AH301" s="417"/>
    </row>
    <row r="302" spans="22:34">
      <c r="V302" s="4" t="s">
        <v>294</v>
      </c>
      <c r="W302" s="4" t="s">
        <v>992</v>
      </c>
      <c r="X302" s="2"/>
      <c r="Y302" s="435" t="s">
        <v>953</v>
      </c>
      <c r="Z302" s="436">
        <v>0.03</v>
      </c>
      <c r="AA302" s="483" t="s">
        <v>312</v>
      </c>
      <c r="AB302" s="438" t="s">
        <v>993</v>
      </c>
      <c r="AC302" s="439" t="str">
        <f t="shared" si="4"/>
        <v>栃木県小山市</v>
      </c>
      <c r="AD302" s="460">
        <v>10.210000000000001</v>
      </c>
      <c r="AE302" s="438">
        <v>10.17</v>
      </c>
      <c r="AF302" s="459">
        <v>10.14</v>
      </c>
      <c r="AG302" s="417"/>
      <c r="AH302" s="417"/>
    </row>
    <row r="303" spans="22:34">
      <c r="V303" s="4" t="s">
        <v>294</v>
      </c>
      <c r="W303" s="4" t="s">
        <v>994</v>
      </c>
      <c r="X303" s="2"/>
      <c r="Y303" s="435" t="s">
        <v>953</v>
      </c>
      <c r="Z303" s="436">
        <v>0.03</v>
      </c>
      <c r="AA303" s="483" t="s">
        <v>312</v>
      </c>
      <c r="AB303" s="438" t="s">
        <v>995</v>
      </c>
      <c r="AC303" s="439" t="str">
        <f t="shared" si="4"/>
        <v>栃木県真岡市</v>
      </c>
      <c r="AD303" s="460">
        <v>10.210000000000001</v>
      </c>
      <c r="AE303" s="438">
        <v>10.17</v>
      </c>
      <c r="AF303" s="459">
        <v>10.14</v>
      </c>
      <c r="AG303" s="417"/>
      <c r="AH303" s="417"/>
    </row>
    <row r="304" spans="22:34">
      <c r="V304" s="4" t="s">
        <v>294</v>
      </c>
      <c r="W304" s="4" t="s">
        <v>996</v>
      </c>
      <c r="X304" s="2"/>
      <c r="Y304" s="435" t="s">
        <v>953</v>
      </c>
      <c r="Z304" s="436">
        <v>0.03</v>
      </c>
      <c r="AA304" s="483" t="s">
        <v>312</v>
      </c>
      <c r="AB304" s="438" t="s">
        <v>997</v>
      </c>
      <c r="AC304" s="439" t="str">
        <f t="shared" si="4"/>
        <v>栃木県大田原市</v>
      </c>
      <c r="AD304" s="460">
        <v>10.210000000000001</v>
      </c>
      <c r="AE304" s="438">
        <v>10.17</v>
      </c>
      <c r="AF304" s="459">
        <v>10.14</v>
      </c>
      <c r="AG304" s="417"/>
      <c r="AH304" s="417"/>
    </row>
    <row r="305" spans="22:34">
      <c r="V305" s="4" t="s">
        <v>294</v>
      </c>
      <c r="W305" s="4" t="s">
        <v>998</v>
      </c>
      <c r="X305" s="2"/>
      <c r="Y305" s="435" t="s">
        <v>953</v>
      </c>
      <c r="Z305" s="436">
        <v>0.03</v>
      </c>
      <c r="AA305" s="483" t="s">
        <v>312</v>
      </c>
      <c r="AB305" s="438" t="s">
        <v>999</v>
      </c>
      <c r="AC305" s="439" t="str">
        <f t="shared" si="4"/>
        <v>栃木県さくら市</v>
      </c>
      <c r="AD305" s="460">
        <v>10.210000000000001</v>
      </c>
      <c r="AE305" s="438">
        <v>10.17</v>
      </c>
      <c r="AF305" s="459">
        <v>10.14</v>
      </c>
      <c r="AG305" s="417"/>
      <c r="AH305" s="417"/>
    </row>
    <row r="306" spans="22:34">
      <c r="V306" s="4" t="s">
        <v>294</v>
      </c>
      <c r="W306" s="4" t="s">
        <v>1000</v>
      </c>
      <c r="X306" s="2"/>
      <c r="Y306" s="435" t="s">
        <v>953</v>
      </c>
      <c r="Z306" s="436">
        <v>0.03</v>
      </c>
      <c r="AA306" s="483" t="s">
        <v>312</v>
      </c>
      <c r="AB306" s="438" t="s">
        <v>1001</v>
      </c>
      <c r="AC306" s="439" t="str">
        <f t="shared" si="4"/>
        <v>栃木県下野市</v>
      </c>
      <c r="AD306" s="460">
        <v>10.210000000000001</v>
      </c>
      <c r="AE306" s="438">
        <v>10.17</v>
      </c>
      <c r="AF306" s="459">
        <v>10.14</v>
      </c>
      <c r="AG306" s="417"/>
      <c r="AH306" s="417"/>
    </row>
    <row r="307" spans="22:34">
      <c r="V307" s="4" t="s">
        <v>294</v>
      </c>
      <c r="W307" s="4" t="s">
        <v>1002</v>
      </c>
      <c r="X307" s="2"/>
      <c r="Y307" s="435" t="s">
        <v>953</v>
      </c>
      <c r="Z307" s="436">
        <v>0.03</v>
      </c>
      <c r="AA307" s="483" t="s">
        <v>312</v>
      </c>
      <c r="AB307" s="438" t="s">
        <v>1003</v>
      </c>
      <c r="AC307" s="439" t="str">
        <f t="shared" si="4"/>
        <v>栃木県壬生町</v>
      </c>
      <c r="AD307" s="460">
        <v>10.210000000000001</v>
      </c>
      <c r="AE307" s="438">
        <v>10.17</v>
      </c>
      <c r="AF307" s="459">
        <v>10.14</v>
      </c>
      <c r="AG307" s="417"/>
      <c r="AH307" s="417"/>
    </row>
    <row r="308" spans="22:34">
      <c r="V308" s="4" t="s">
        <v>294</v>
      </c>
      <c r="W308" s="4" t="s">
        <v>1004</v>
      </c>
      <c r="X308" s="2"/>
      <c r="Y308" s="435" t="s">
        <v>953</v>
      </c>
      <c r="Z308" s="436">
        <v>0.03</v>
      </c>
      <c r="AA308" s="483" t="s">
        <v>316</v>
      </c>
      <c r="AB308" s="438" t="s">
        <v>1005</v>
      </c>
      <c r="AC308" s="439" t="str">
        <f t="shared" si="4"/>
        <v>群馬県前橋市</v>
      </c>
      <c r="AD308" s="460">
        <v>10.210000000000001</v>
      </c>
      <c r="AE308" s="438">
        <v>10.17</v>
      </c>
      <c r="AF308" s="459">
        <v>10.14</v>
      </c>
      <c r="AG308" s="417"/>
      <c r="AH308" s="417"/>
    </row>
    <row r="309" spans="22:34">
      <c r="V309" s="4" t="s">
        <v>294</v>
      </c>
      <c r="W309" s="4" t="s">
        <v>1006</v>
      </c>
      <c r="X309" s="2"/>
      <c r="Y309" s="435" t="s">
        <v>953</v>
      </c>
      <c r="Z309" s="436">
        <v>0.03</v>
      </c>
      <c r="AA309" s="483" t="s">
        <v>316</v>
      </c>
      <c r="AB309" s="438" t="s">
        <v>1007</v>
      </c>
      <c r="AC309" s="439" t="str">
        <f t="shared" si="4"/>
        <v>群馬県伊勢崎市</v>
      </c>
      <c r="AD309" s="460">
        <v>10.210000000000001</v>
      </c>
      <c r="AE309" s="438">
        <v>10.17</v>
      </c>
      <c r="AF309" s="459">
        <v>10.14</v>
      </c>
      <c r="AG309" s="417"/>
      <c r="AH309" s="417"/>
    </row>
    <row r="310" spans="22:34">
      <c r="V310" s="4" t="s">
        <v>294</v>
      </c>
      <c r="W310" s="4" t="s">
        <v>1008</v>
      </c>
      <c r="X310" s="2"/>
      <c r="Y310" s="435" t="s">
        <v>953</v>
      </c>
      <c r="Z310" s="436">
        <v>0.03</v>
      </c>
      <c r="AA310" s="483" t="s">
        <v>316</v>
      </c>
      <c r="AB310" s="438" t="s">
        <v>1009</v>
      </c>
      <c r="AC310" s="439" t="str">
        <f t="shared" si="4"/>
        <v>群馬県太田市</v>
      </c>
      <c r="AD310" s="460">
        <v>10.210000000000001</v>
      </c>
      <c r="AE310" s="438">
        <v>10.17</v>
      </c>
      <c r="AF310" s="459">
        <v>10.14</v>
      </c>
      <c r="AG310" s="417"/>
      <c r="AH310" s="417"/>
    </row>
    <row r="311" spans="22:34">
      <c r="V311" s="4" t="s">
        <v>294</v>
      </c>
      <c r="W311" s="4" t="s">
        <v>1010</v>
      </c>
      <c r="X311" s="2"/>
      <c r="Y311" s="435" t="s">
        <v>953</v>
      </c>
      <c r="Z311" s="436">
        <v>0.03</v>
      </c>
      <c r="AA311" s="483" t="s">
        <v>316</v>
      </c>
      <c r="AB311" s="438" t="s">
        <v>1011</v>
      </c>
      <c r="AC311" s="439" t="str">
        <f t="shared" si="4"/>
        <v>群馬県渋川市</v>
      </c>
      <c r="AD311" s="460">
        <v>10.210000000000001</v>
      </c>
      <c r="AE311" s="438">
        <v>10.17</v>
      </c>
      <c r="AF311" s="459">
        <v>10.14</v>
      </c>
      <c r="AG311" s="417"/>
      <c r="AH311" s="417"/>
    </row>
    <row r="312" spans="22:34">
      <c r="V312" s="4" t="s">
        <v>294</v>
      </c>
      <c r="W312" s="4" t="s">
        <v>1012</v>
      </c>
      <c r="X312" s="2"/>
      <c r="Y312" s="435" t="s">
        <v>953</v>
      </c>
      <c r="Z312" s="436">
        <v>0.03</v>
      </c>
      <c r="AA312" s="483" t="s">
        <v>316</v>
      </c>
      <c r="AB312" s="438" t="s">
        <v>1013</v>
      </c>
      <c r="AC312" s="439" t="str">
        <f t="shared" si="4"/>
        <v>群馬県榛東村</v>
      </c>
      <c r="AD312" s="460">
        <v>10.210000000000001</v>
      </c>
      <c r="AE312" s="438">
        <v>10.17</v>
      </c>
      <c r="AF312" s="459">
        <v>10.14</v>
      </c>
      <c r="AG312" s="417"/>
      <c r="AH312" s="417"/>
    </row>
    <row r="313" spans="22:34">
      <c r="V313" s="4" t="s">
        <v>294</v>
      </c>
      <c r="W313" s="4" t="s">
        <v>1014</v>
      </c>
      <c r="X313" s="2"/>
      <c r="Y313" s="435" t="s">
        <v>953</v>
      </c>
      <c r="Z313" s="436">
        <v>0.03</v>
      </c>
      <c r="AA313" s="483" t="s">
        <v>316</v>
      </c>
      <c r="AB313" s="438" t="s">
        <v>1015</v>
      </c>
      <c r="AC313" s="439" t="str">
        <f t="shared" si="4"/>
        <v>群馬県吉岡町</v>
      </c>
      <c r="AD313" s="460">
        <v>10.210000000000001</v>
      </c>
      <c r="AE313" s="438">
        <v>10.17</v>
      </c>
      <c r="AF313" s="459">
        <v>10.14</v>
      </c>
      <c r="AG313" s="417"/>
      <c r="AH313" s="417"/>
    </row>
    <row r="314" spans="22:34">
      <c r="V314" s="4" t="s">
        <v>294</v>
      </c>
      <c r="W314" s="4" t="s">
        <v>1016</v>
      </c>
      <c r="X314" s="2"/>
      <c r="Y314" s="435" t="s">
        <v>953</v>
      </c>
      <c r="Z314" s="436">
        <v>0.03</v>
      </c>
      <c r="AA314" s="483" t="s">
        <v>316</v>
      </c>
      <c r="AB314" s="438" t="s">
        <v>1017</v>
      </c>
      <c r="AC314" s="439" t="str">
        <f t="shared" si="4"/>
        <v>群馬県玉村町</v>
      </c>
      <c r="AD314" s="460">
        <v>10.210000000000001</v>
      </c>
      <c r="AE314" s="438">
        <v>10.17</v>
      </c>
      <c r="AF314" s="459">
        <v>10.14</v>
      </c>
      <c r="AG314" s="417"/>
      <c r="AH314" s="417"/>
    </row>
    <row r="315" spans="22:34">
      <c r="V315" s="4" t="s">
        <v>294</v>
      </c>
      <c r="W315" s="4" t="s">
        <v>1018</v>
      </c>
      <c r="X315" s="2"/>
      <c r="Y315" s="435" t="s">
        <v>953</v>
      </c>
      <c r="Z315" s="436">
        <v>0.03</v>
      </c>
      <c r="AA315" s="483" t="s">
        <v>321</v>
      </c>
      <c r="AB315" s="438" t="s">
        <v>1019</v>
      </c>
      <c r="AC315" s="439" t="str">
        <f t="shared" si="4"/>
        <v>埼玉県熊谷市</v>
      </c>
      <c r="AD315" s="460">
        <v>10.210000000000001</v>
      </c>
      <c r="AE315" s="438">
        <v>10.17</v>
      </c>
      <c r="AF315" s="459">
        <v>10.14</v>
      </c>
      <c r="AG315" s="417"/>
      <c r="AH315" s="417"/>
    </row>
    <row r="316" spans="22:34">
      <c r="V316" s="4" t="s">
        <v>294</v>
      </c>
      <c r="W316" s="4" t="s">
        <v>1020</v>
      </c>
      <c r="X316" s="2"/>
      <c r="Y316" s="435" t="s">
        <v>953</v>
      </c>
      <c r="Z316" s="436">
        <v>0.03</v>
      </c>
      <c r="AA316" s="483" t="s">
        <v>321</v>
      </c>
      <c r="AB316" s="438" t="s">
        <v>1021</v>
      </c>
      <c r="AC316" s="439" t="str">
        <f t="shared" si="4"/>
        <v>埼玉県深谷市</v>
      </c>
      <c r="AD316" s="460">
        <v>10.210000000000001</v>
      </c>
      <c r="AE316" s="438">
        <v>10.17</v>
      </c>
      <c r="AF316" s="459">
        <v>10.14</v>
      </c>
      <c r="AG316" s="417"/>
      <c r="AH316" s="417"/>
    </row>
    <row r="317" spans="22:34">
      <c r="V317" s="4" t="s">
        <v>294</v>
      </c>
      <c r="W317" s="4" t="s">
        <v>1022</v>
      </c>
      <c r="X317" s="2"/>
      <c r="Y317" s="435" t="s">
        <v>953</v>
      </c>
      <c r="Z317" s="436">
        <v>0.03</v>
      </c>
      <c r="AA317" s="483" t="s">
        <v>321</v>
      </c>
      <c r="AB317" s="438" t="s">
        <v>1023</v>
      </c>
      <c r="AC317" s="439" t="str">
        <f t="shared" si="4"/>
        <v>埼玉県日高市</v>
      </c>
      <c r="AD317" s="460">
        <v>10.210000000000001</v>
      </c>
      <c r="AE317" s="438">
        <v>10.17</v>
      </c>
      <c r="AF317" s="459">
        <v>10.14</v>
      </c>
      <c r="AG317" s="417"/>
      <c r="AH317" s="417"/>
    </row>
    <row r="318" spans="22:34">
      <c r="V318" s="4" t="s">
        <v>294</v>
      </c>
      <c r="W318" s="4" t="s">
        <v>1024</v>
      </c>
      <c r="X318" s="2"/>
      <c r="Y318" s="435" t="s">
        <v>953</v>
      </c>
      <c r="Z318" s="436">
        <v>0.03</v>
      </c>
      <c r="AA318" s="483" t="s">
        <v>321</v>
      </c>
      <c r="AB318" s="438" t="s">
        <v>1025</v>
      </c>
      <c r="AC318" s="439" t="str">
        <f t="shared" si="4"/>
        <v>埼玉県毛呂山町</v>
      </c>
      <c r="AD318" s="460">
        <v>10.210000000000001</v>
      </c>
      <c r="AE318" s="438">
        <v>10.17</v>
      </c>
      <c r="AF318" s="459">
        <v>10.14</v>
      </c>
      <c r="AG318" s="417"/>
      <c r="AH318" s="417"/>
    </row>
    <row r="319" spans="22:34">
      <c r="V319" s="4" t="s">
        <v>294</v>
      </c>
      <c r="W319" s="4" t="s">
        <v>1026</v>
      </c>
      <c r="X319" s="2"/>
      <c r="Y319" s="435" t="s">
        <v>953</v>
      </c>
      <c r="Z319" s="436">
        <v>0.03</v>
      </c>
      <c r="AA319" s="483" t="s">
        <v>321</v>
      </c>
      <c r="AB319" s="438" t="s">
        <v>1027</v>
      </c>
      <c r="AC319" s="439" t="str">
        <f t="shared" si="4"/>
        <v>埼玉県越生町</v>
      </c>
      <c r="AD319" s="460">
        <v>10.210000000000001</v>
      </c>
      <c r="AE319" s="438">
        <v>10.17</v>
      </c>
      <c r="AF319" s="459">
        <v>10.14</v>
      </c>
      <c r="AG319" s="417"/>
      <c r="AH319" s="417"/>
    </row>
    <row r="320" spans="22:34">
      <c r="V320" s="4" t="s">
        <v>294</v>
      </c>
      <c r="W320" s="4" t="s">
        <v>1028</v>
      </c>
      <c r="X320" s="2"/>
      <c r="Y320" s="435" t="s">
        <v>953</v>
      </c>
      <c r="Z320" s="436">
        <v>0.03</v>
      </c>
      <c r="AA320" s="483" t="s">
        <v>321</v>
      </c>
      <c r="AB320" s="438" t="s">
        <v>1029</v>
      </c>
      <c r="AC320" s="439" t="str">
        <f t="shared" si="4"/>
        <v>埼玉県滑川町</v>
      </c>
      <c r="AD320" s="460">
        <v>10.210000000000001</v>
      </c>
      <c r="AE320" s="438">
        <v>10.17</v>
      </c>
      <c r="AF320" s="459">
        <v>10.14</v>
      </c>
      <c r="AG320" s="417"/>
      <c r="AH320" s="417"/>
    </row>
    <row r="321" spans="22:34">
      <c r="V321" s="4" t="s">
        <v>299</v>
      </c>
      <c r="W321" s="4" t="s">
        <v>1030</v>
      </c>
      <c r="X321" s="2"/>
      <c r="Y321" s="435" t="s">
        <v>953</v>
      </c>
      <c r="Z321" s="436">
        <v>0.03</v>
      </c>
      <c r="AA321" s="483" t="s">
        <v>321</v>
      </c>
      <c r="AB321" s="438" t="s">
        <v>1031</v>
      </c>
      <c r="AC321" s="439" t="str">
        <f t="shared" si="4"/>
        <v>埼玉県川島町</v>
      </c>
      <c r="AD321" s="460">
        <v>10.210000000000001</v>
      </c>
      <c r="AE321" s="438">
        <v>10.17</v>
      </c>
      <c r="AF321" s="459">
        <v>10.14</v>
      </c>
      <c r="AG321" s="417"/>
      <c r="AH321" s="417"/>
    </row>
    <row r="322" spans="22:34">
      <c r="V322" s="4" t="s">
        <v>299</v>
      </c>
      <c r="W322" s="4" t="s">
        <v>1032</v>
      </c>
      <c r="X322" s="2"/>
      <c r="Y322" s="435" t="s">
        <v>953</v>
      </c>
      <c r="Z322" s="436">
        <v>0.03</v>
      </c>
      <c r="AA322" s="483" t="s">
        <v>321</v>
      </c>
      <c r="AB322" s="438" t="s">
        <v>1033</v>
      </c>
      <c r="AC322" s="439" t="str">
        <f t="shared" si="4"/>
        <v>埼玉県吉見町</v>
      </c>
      <c r="AD322" s="460">
        <v>10.210000000000001</v>
      </c>
      <c r="AE322" s="438">
        <v>10.17</v>
      </c>
      <c r="AF322" s="459">
        <v>10.14</v>
      </c>
      <c r="AG322" s="417"/>
      <c r="AH322" s="417"/>
    </row>
    <row r="323" spans="22:34">
      <c r="V323" s="4" t="s">
        <v>299</v>
      </c>
      <c r="W323" s="4" t="s">
        <v>1034</v>
      </c>
      <c r="X323" s="2"/>
      <c r="Y323" s="435" t="s">
        <v>953</v>
      </c>
      <c r="Z323" s="436">
        <v>0.03</v>
      </c>
      <c r="AA323" s="483" t="s">
        <v>321</v>
      </c>
      <c r="AB323" s="438" t="s">
        <v>1035</v>
      </c>
      <c r="AC323" s="439" t="str">
        <f t="shared" si="4"/>
        <v>埼玉県鳩山町</v>
      </c>
      <c r="AD323" s="460">
        <v>10.210000000000001</v>
      </c>
      <c r="AE323" s="438">
        <v>10.17</v>
      </c>
      <c r="AF323" s="459">
        <v>10.14</v>
      </c>
      <c r="AG323" s="417"/>
      <c r="AH323" s="417"/>
    </row>
    <row r="324" spans="22:34">
      <c r="V324" s="4" t="s">
        <v>299</v>
      </c>
      <c r="W324" s="4" t="s">
        <v>1036</v>
      </c>
      <c r="X324" s="2"/>
      <c r="Y324" s="435" t="s">
        <v>953</v>
      </c>
      <c r="Z324" s="436">
        <v>0.03</v>
      </c>
      <c r="AA324" s="483" t="s">
        <v>321</v>
      </c>
      <c r="AB324" s="438" t="s">
        <v>1037</v>
      </c>
      <c r="AC324" s="439" t="str">
        <f t="shared" ref="AC324:AC387" si="5">AA324&amp;AB324</f>
        <v>埼玉県寄居町</v>
      </c>
      <c r="AD324" s="460">
        <v>10.210000000000001</v>
      </c>
      <c r="AE324" s="438">
        <v>10.17</v>
      </c>
      <c r="AF324" s="459">
        <v>10.14</v>
      </c>
      <c r="AG324" s="417"/>
      <c r="AH324" s="417"/>
    </row>
    <row r="325" spans="22:34">
      <c r="V325" s="4" t="s">
        <v>299</v>
      </c>
      <c r="W325" s="4" t="s">
        <v>1038</v>
      </c>
      <c r="X325" s="2"/>
      <c r="Y325" s="435" t="s">
        <v>953</v>
      </c>
      <c r="Z325" s="436">
        <v>0.03</v>
      </c>
      <c r="AA325" s="483" t="s">
        <v>326</v>
      </c>
      <c r="AB325" s="438" t="s">
        <v>1039</v>
      </c>
      <c r="AC325" s="439" t="str">
        <f t="shared" si="5"/>
        <v>千葉県東金市</v>
      </c>
      <c r="AD325" s="460">
        <v>10.210000000000001</v>
      </c>
      <c r="AE325" s="438">
        <v>10.17</v>
      </c>
      <c r="AF325" s="459">
        <v>10.14</v>
      </c>
      <c r="AG325" s="417"/>
      <c r="AH325" s="417"/>
    </row>
    <row r="326" spans="22:34">
      <c r="V326" s="4" t="s">
        <v>299</v>
      </c>
      <c r="W326" s="4" t="s">
        <v>1040</v>
      </c>
      <c r="X326" s="2"/>
      <c r="Y326" s="435" t="s">
        <v>953</v>
      </c>
      <c r="Z326" s="436">
        <v>0.03</v>
      </c>
      <c r="AA326" s="483" t="s">
        <v>326</v>
      </c>
      <c r="AB326" s="438" t="s">
        <v>1041</v>
      </c>
      <c r="AC326" s="439" t="str">
        <f t="shared" si="5"/>
        <v>千葉県君津市</v>
      </c>
      <c r="AD326" s="460">
        <v>10.210000000000001</v>
      </c>
      <c r="AE326" s="438">
        <v>10.17</v>
      </c>
      <c r="AF326" s="459">
        <v>10.14</v>
      </c>
      <c r="AG326" s="417"/>
      <c r="AH326" s="417"/>
    </row>
    <row r="327" spans="22:34">
      <c r="V327" s="4" t="s">
        <v>299</v>
      </c>
      <c r="W327" s="4" t="s">
        <v>1042</v>
      </c>
      <c r="X327" s="2"/>
      <c r="Y327" s="435" t="s">
        <v>953</v>
      </c>
      <c r="Z327" s="436">
        <v>0.03</v>
      </c>
      <c r="AA327" s="483" t="s">
        <v>326</v>
      </c>
      <c r="AB327" s="438" t="s">
        <v>1043</v>
      </c>
      <c r="AC327" s="439" t="str">
        <f t="shared" si="5"/>
        <v>千葉県富津市</v>
      </c>
      <c r="AD327" s="460">
        <v>10.210000000000001</v>
      </c>
      <c r="AE327" s="438">
        <v>10.17</v>
      </c>
      <c r="AF327" s="459">
        <v>10.14</v>
      </c>
      <c r="AG327" s="417"/>
      <c r="AH327" s="417"/>
    </row>
    <row r="328" spans="22:34">
      <c r="V328" s="4" t="s">
        <v>299</v>
      </c>
      <c r="W328" s="4" t="s">
        <v>1044</v>
      </c>
      <c r="X328" s="2"/>
      <c r="Y328" s="435" t="s">
        <v>953</v>
      </c>
      <c r="Z328" s="436">
        <v>0.03</v>
      </c>
      <c r="AA328" s="483" t="s">
        <v>326</v>
      </c>
      <c r="AB328" s="438" t="s">
        <v>1045</v>
      </c>
      <c r="AC328" s="439" t="str">
        <f t="shared" si="5"/>
        <v>千葉県八街市</v>
      </c>
      <c r="AD328" s="460">
        <v>10.210000000000001</v>
      </c>
      <c r="AE328" s="438">
        <v>10.17</v>
      </c>
      <c r="AF328" s="459">
        <v>10.14</v>
      </c>
      <c r="AG328" s="417"/>
      <c r="AH328" s="417"/>
    </row>
    <row r="329" spans="22:34">
      <c r="V329" s="4" t="s">
        <v>299</v>
      </c>
      <c r="W329" s="4" t="s">
        <v>1046</v>
      </c>
      <c r="X329" s="2"/>
      <c r="Y329" s="435" t="s">
        <v>953</v>
      </c>
      <c r="Z329" s="436">
        <v>0.03</v>
      </c>
      <c r="AA329" s="483" t="s">
        <v>326</v>
      </c>
      <c r="AB329" s="438" t="s">
        <v>1047</v>
      </c>
      <c r="AC329" s="439" t="str">
        <f t="shared" si="5"/>
        <v>千葉県富里市</v>
      </c>
      <c r="AD329" s="460">
        <v>10.210000000000001</v>
      </c>
      <c r="AE329" s="438">
        <v>10.17</v>
      </c>
      <c r="AF329" s="459">
        <v>10.14</v>
      </c>
      <c r="AG329" s="417"/>
      <c r="AH329" s="417"/>
    </row>
    <row r="330" spans="22:34">
      <c r="V330" s="4" t="s">
        <v>299</v>
      </c>
      <c r="W330" s="4" t="s">
        <v>1048</v>
      </c>
      <c r="X330" s="2"/>
      <c r="Y330" s="435" t="s">
        <v>953</v>
      </c>
      <c r="Z330" s="436">
        <v>0.03</v>
      </c>
      <c r="AA330" s="483" t="s">
        <v>326</v>
      </c>
      <c r="AB330" s="438" t="s">
        <v>1049</v>
      </c>
      <c r="AC330" s="439" t="str">
        <f t="shared" si="5"/>
        <v>千葉県山武市</v>
      </c>
      <c r="AD330" s="460">
        <v>10.210000000000001</v>
      </c>
      <c r="AE330" s="438">
        <v>10.17</v>
      </c>
      <c r="AF330" s="459">
        <v>10.14</v>
      </c>
      <c r="AG330" s="417"/>
      <c r="AH330" s="417"/>
    </row>
    <row r="331" spans="22:34">
      <c r="V331" s="4" t="s">
        <v>299</v>
      </c>
      <c r="W331" s="4" t="s">
        <v>1050</v>
      </c>
      <c r="X331" s="2"/>
      <c r="Y331" s="435" t="s">
        <v>953</v>
      </c>
      <c r="Z331" s="436">
        <v>0.03</v>
      </c>
      <c r="AA331" s="483" t="s">
        <v>326</v>
      </c>
      <c r="AB331" s="438" t="s">
        <v>1051</v>
      </c>
      <c r="AC331" s="439" t="str">
        <f t="shared" si="5"/>
        <v>千葉県大網白里市</v>
      </c>
      <c r="AD331" s="460">
        <v>10.210000000000001</v>
      </c>
      <c r="AE331" s="438">
        <v>10.17</v>
      </c>
      <c r="AF331" s="459">
        <v>10.14</v>
      </c>
      <c r="AG331" s="417"/>
      <c r="AH331" s="417"/>
    </row>
    <row r="332" spans="22:34">
      <c r="V332" s="4" t="s">
        <v>299</v>
      </c>
      <c r="W332" s="4" t="s">
        <v>1052</v>
      </c>
      <c r="X332" s="2"/>
      <c r="Y332" s="435" t="s">
        <v>953</v>
      </c>
      <c r="Z332" s="436">
        <v>0.03</v>
      </c>
      <c r="AA332" s="483" t="s">
        <v>326</v>
      </c>
      <c r="AB332" s="438" t="s">
        <v>1053</v>
      </c>
      <c r="AC332" s="439" t="str">
        <f t="shared" si="5"/>
        <v>千葉県長柄町</v>
      </c>
      <c r="AD332" s="460">
        <v>10.210000000000001</v>
      </c>
      <c r="AE332" s="438">
        <v>10.17</v>
      </c>
      <c r="AF332" s="459">
        <v>10.14</v>
      </c>
      <c r="AG332" s="417"/>
      <c r="AH332" s="417"/>
    </row>
    <row r="333" spans="22:34">
      <c r="V333" s="4" t="s">
        <v>299</v>
      </c>
      <c r="W333" s="4" t="s">
        <v>1054</v>
      </c>
      <c r="X333" s="2"/>
      <c r="Y333" s="435" t="s">
        <v>953</v>
      </c>
      <c r="Z333" s="436">
        <v>0.03</v>
      </c>
      <c r="AA333" s="483" t="s">
        <v>326</v>
      </c>
      <c r="AB333" s="438" t="s">
        <v>1055</v>
      </c>
      <c r="AC333" s="439" t="str">
        <f t="shared" si="5"/>
        <v>千葉県長南町</v>
      </c>
      <c r="AD333" s="460">
        <v>10.210000000000001</v>
      </c>
      <c r="AE333" s="438">
        <v>10.17</v>
      </c>
      <c r="AF333" s="459">
        <v>10.14</v>
      </c>
      <c r="AG333" s="417"/>
      <c r="AH333" s="417"/>
    </row>
    <row r="334" spans="22:34">
      <c r="V334" s="4" t="s">
        <v>299</v>
      </c>
      <c r="W334" s="4" t="s">
        <v>1056</v>
      </c>
      <c r="X334" s="2"/>
      <c r="Y334" s="435" t="s">
        <v>953</v>
      </c>
      <c r="Z334" s="436">
        <v>0.03</v>
      </c>
      <c r="AA334" s="483" t="s">
        <v>333</v>
      </c>
      <c r="AB334" s="438" t="s">
        <v>1057</v>
      </c>
      <c r="AC334" s="439" t="str">
        <f t="shared" si="5"/>
        <v>神奈川県南足柄市</v>
      </c>
      <c r="AD334" s="460">
        <v>10.210000000000001</v>
      </c>
      <c r="AE334" s="438">
        <v>10.17</v>
      </c>
      <c r="AF334" s="459">
        <v>10.14</v>
      </c>
      <c r="AG334" s="417"/>
      <c r="AH334" s="417"/>
    </row>
    <row r="335" spans="22:34">
      <c r="V335" s="4" t="s">
        <v>299</v>
      </c>
      <c r="W335" s="4" t="s">
        <v>1058</v>
      </c>
      <c r="X335" s="2"/>
      <c r="Y335" s="435" t="s">
        <v>953</v>
      </c>
      <c r="Z335" s="436">
        <v>0.03</v>
      </c>
      <c r="AA335" s="483" t="s">
        <v>333</v>
      </c>
      <c r="AB335" s="438" t="s">
        <v>1059</v>
      </c>
      <c r="AC335" s="439" t="str">
        <f t="shared" si="5"/>
        <v>神奈川県山北町</v>
      </c>
      <c r="AD335" s="460">
        <v>10.210000000000001</v>
      </c>
      <c r="AE335" s="438">
        <v>10.17</v>
      </c>
      <c r="AF335" s="459">
        <v>10.14</v>
      </c>
      <c r="AG335" s="417"/>
      <c r="AH335" s="417"/>
    </row>
    <row r="336" spans="22:34">
      <c r="V336" s="4" t="s">
        <v>299</v>
      </c>
      <c r="W336" s="4" t="s">
        <v>1060</v>
      </c>
      <c r="X336" s="2"/>
      <c r="Y336" s="435" t="s">
        <v>953</v>
      </c>
      <c r="Z336" s="436">
        <v>0.03</v>
      </c>
      <c r="AA336" s="483" t="s">
        <v>333</v>
      </c>
      <c r="AB336" s="438" t="s">
        <v>1061</v>
      </c>
      <c r="AC336" s="439" t="str">
        <f t="shared" si="5"/>
        <v>神奈川県箱根町</v>
      </c>
      <c r="AD336" s="460">
        <v>10.210000000000001</v>
      </c>
      <c r="AE336" s="438">
        <v>10.17</v>
      </c>
      <c r="AF336" s="459">
        <v>10.14</v>
      </c>
      <c r="AG336" s="417"/>
      <c r="AH336" s="417"/>
    </row>
    <row r="337" spans="22:34">
      <c r="V337" s="4" t="s">
        <v>299</v>
      </c>
      <c r="W337" s="4" t="s">
        <v>1062</v>
      </c>
      <c r="X337" s="2"/>
      <c r="Y337" s="435" t="s">
        <v>953</v>
      </c>
      <c r="Z337" s="436">
        <v>0.03</v>
      </c>
      <c r="AA337" s="483" t="s">
        <v>337</v>
      </c>
      <c r="AB337" s="438" t="s">
        <v>1063</v>
      </c>
      <c r="AC337" s="439" t="str">
        <f t="shared" si="5"/>
        <v>新潟県新潟市</v>
      </c>
      <c r="AD337" s="460">
        <v>10.210000000000001</v>
      </c>
      <c r="AE337" s="438">
        <v>10.17</v>
      </c>
      <c r="AF337" s="459">
        <v>10.14</v>
      </c>
      <c r="AG337" s="417"/>
      <c r="AH337" s="417"/>
    </row>
    <row r="338" spans="22:34">
      <c r="V338" s="4" t="s">
        <v>299</v>
      </c>
      <c r="W338" s="4" t="s">
        <v>1064</v>
      </c>
      <c r="X338" s="2"/>
      <c r="Y338" s="435" t="s">
        <v>953</v>
      </c>
      <c r="Z338" s="436">
        <v>0.03</v>
      </c>
      <c r="AA338" s="483" t="s">
        <v>341</v>
      </c>
      <c r="AB338" s="438" t="s">
        <v>1065</v>
      </c>
      <c r="AC338" s="439" t="str">
        <f t="shared" si="5"/>
        <v>富山県富山市</v>
      </c>
      <c r="AD338" s="460">
        <v>10.210000000000001</v>
      </c>
      <c r="AE338" s="438">
        <v>10.17</v>
      </c>
      <c r="AF338" s="459">
        <v>10.14</v>
      </c>
      <c r="AG338" s="417"/>
      <c r="AH338" s="417"/>
    </row>
    <row r="339" spans="22:34">
      <c r="V339" s="4" t="s">
        <v>299</v>
      </c>
      <c r="W339" s="4" t="s">
        <v>1066</v>
      </c>
      <c r="X339" s="2"/>
      <c r="Y339" s="435" t="s">
        <v>953</v>
      </c>
      <c r="Z339" s="436">
        <v>0.03</v>
      </c>
      <c r="AA339" s="483" t="s">
        <v>345</v>
      </c>
      <c r="AB339" s="438" t="s">
        <v>1067</v>
      </c>
      <c r="AC339" s="439" t="str">
        <f t="shared" si="5"/>
        <v>石川県金沢市</v>
      </c>
      <c r="AD339" s="460">
        <v>10.210000000000001</v>
      </c>
      <c r="AE339" s="438">
        <v>10.17</v>
      </c>
      <c r="AF339" s="459">
        <v>10.14</v>
      </c>
      <c r="AG339" s="417"/>
      <c r="AH339" s="417"/>
    </row>
    <row r="340" spans="22:34">
      <c r="V340" s="4" t="s">
        <v>299</v>
      </c>
      <c r="W340" s="4" t="s">
        <v>1068</v>
      </c>
      <c r="X340" s="2"/>
      <c r="Y340" s="435" t="s">
        <v>953</v>
      </c>
      <c r="Z340" s="436">
        <v>0.03</v>
      </c>
      <c r="AA340" s="483" t="s">
        <v>345</v>
      </c>
      <c r="AB340" s="438" t="s">
        <v>1069</v>
      </c>
      <c r="AC340" s="439" t="str">
        <f t="shared" si="5"/>
        <v>石川県内灘町</v>
      </c>
      <c r="AD340" s="460">
        <v>10.210000000000001</v>
      </c>
      <c r="AE340" s="438">
        <v>10.17</v>
      </c>
      <c r="AF340" s="459">
        <v>10.14</v>
      </c>
      <c r="AG340" s="417"/>
      <c r="AH340" s="417"/>
    </row>
    <row r="341" spans="22:34">
      <c r="V341" s="4" t="s">
        <v>299</v>
      </c>
      <c r="W341" s="4" t="s">
        <v>1070</v>
      </c>
      <c r="X341" s="2"/>
      <c r="Y341" s="435" t="s">
        <v>953</v>
      </c>
      <c r="Z341" s="436">
        <v>0.03</v>
      </c>
      <c r="AA341" s="483" t="s">
        <v>349</v>
      </c>
      <c r="AB341" s="438" t="s">
        <v>1071</v>
      </c>
      <c r="AC341" s="439" t="str">
        <f t="shared" si="5"/>
        <v>福井県福井市</v>
      </c>
      <c r="AD341" s="460">
        <v>10.210000000000001</v>
      </c>
      <c r="AE341" s="438">
        <v>10.17</v>
      </c>
      <c r="AF341" s="459">
        <v>10.14</v>
      </c>
      <c r="AG341" s="417"/>
      <c r="AH341" s="417"/>
    </row>
    <row r="342" spans="22:34">
      <c r="V342" s="4" t="s">
        <v>299</v>
      </c>
      <c r="W342" s="4" t="s">
        <v>1072</v>
      </c>
      <c r="X342" s="2"/>
      <c r="Y342" s="435" t="s">
        <v>953</v>
      </c>
      <c r="Z342" s="436">
        <v>0.03</v>
      </c>
      <c r="AA342" s="483" t="s">
        <v>354</v>
      </c>
      <c r="AB342" s="438" t="s">
        <v>1073</v>
      </c>
      <c r="AC342" s="439" t="str">
        <f t="shared" si="5"/>
        <v>山梨県甲府市</v>
      </c>
      <c r="AD342" s="460">
        <v>10.210000000000001</v>
      </c>
      <c r="AE342" s="438">
        <v>10.17</v>
      </c>
      <c r="AF342" s="459">
        <v>10.14</v>
      </c>
      <c r="AG342" s="417"/>
      <c r="AH342" s="417"/>
    </row>
    <row r="343" spans="22:34">
      <c r="V343" s="4" t="s">
        <v>299</v>
      </c>
      <c r="W343" s="4" t="s">
        <v>1074</v>
      </c>
      <c r="X343" s="2"/>
      <c r="Y343" s="435" t="s">
        <v>953</v>
      </c>
      <c r="Z343" s="436">
        <v>0.03</v>
      </c>
      <c r="AA343" s="483" t="s">
        <v>354</v>
      </c>
      <c r="AB343" s="438" t="s">
        <v>1075</v>
      </c>
      <c r="AC343" s="439" t="str">
        <f t="shared" si="5"/>
        <v>山梨県南アルプス市</v>
      </c>
      <c r="AD343" s="460">
        <v>10.210000000000001</v>
      </c>
      <c r="AE343" s="438">
        <v>10.17</v>
      </c>
      <c r="AF343" s="459">
        <v>10.14</v>
      </c>
      <c r="AG343" s="417"/>
      <c r="AH343" s="417"/>
    </row>
    <row r="344" spans="22:34">
      <c r="V344" s="4" t="s">
        <v>299</v>
      </c>
      <c r="W344" s="4" t="s">
        <v>1076</v>
      </c>
      <c r="X344" s="2"/>
      <c r="Y344" s="435" t="s">
        <v>953</v>
      </c>
      <c r="Z344" s="436">
        <v>0.03</v>
      </c>
      <c r="AA344" s="483" t="s">
        <v>354</v>
      </c>
      <c r="AB344" s="438" t="s">
        <v>1077</v>
      </c>
      <c r="AC344" s="439" t="str">
        <f t="shared" si="5"/>
        <v>山梨県南部町</v>
      </c>
      <c r="AD344" s="460">
        <v>10.210000000000001</v>
      </c>
      <c r="AE344" s="438">
        <v>10.17</v>
      </c>
      <c r="AF344" s="459">
        <v>10.14</v>
      </c>
      <c r="AG344" s="417"/>
      <c r="AH344" s="417"/>
    </row>
    <row r="345" spans="22:34">
      <c r="V345" s="4" t="s">
        <v>299</v>
      </c>
      <c r="W345" s="4" t="s">
        <v>1078</v>
      </c>
      <c r="X345" s="2"/>
      <c r="Y345" s="435" t="s">
        <v>953</v>
      </c>
      <c r="Z345" s="436">
        <v>0.03</v>
      </c>
      <c r="AA345" s="483" t="s">
        <v>358</v>
      </c>
      <c r="AB345" s="438" t="s">
        <v>1079</v>
      </c>
      <c r="AC345" s="439" t="str">
        <f t="shared" si="5"/>
        <v>長野県長野市</v>
      </c>
      <c r="AD345" s="460">
        <v>10.210000000000001</v>
      </c>
      <c r="AE345" s="438">
        <v>10.17</v>
      </c>
      <c r="AF345" s="459">
        <v>10.14</v>
      </c>
      <c r="AG345" s="417"/>
      <c r="AH345" s="417"/>
    </row>
    <row r="346" spans="22:34">
      <c r="V346" s="4" t="s">
        <v>299</v>
      </c>
      <c r="W346" s="4" t="s">
        <v>1080</v>
      </c>
      <c r="X346" s="2"/>
      <c r="Y346" s="435" t="s">
        <v>953</v>
      </c>
      <c r="Z346" s="436">
        <v>0.03</v>
      </c>
      <c r="AA346" s="483" t="s">
        <v>358</v>
      </c>
      <c r="AB346" s="438" t="s">
        <v>1081</v>
      </c>
      <c r="AC346" s="439" t="str">
        <f t="shared" si="5"/>
        <v>長野県松本市</v>
      </c>
      <c r="AD346" s="460">
        <v>10.210000000000001</v>
      </c>
      <c r="AE346" s="438">
        <v>10.17</v>
      </c>
      <c r="AF346" s="459">
        <v>10.14</v>
      </c>
      <c r="AG346" s="417"/>
      <c r="AH346" s="417"/>
    </row>
    <row r="347" spans="22:34">
      <c r="V347" s="4" t="s">
        <v>299</v>
      </c>
      <c r="W347" s="4" t="s">
        <v>1082</v>
      </c>
      <c r="X347" s="2"/>
      <c r="Y347" s="435" t="s">
        <v>953</v>
      </c>
      <c r="Z347" s="436">
        <v>0.03</v>
      </c>
      <c r="AA347" s="483" t="s">
        <v>358</v>
      </c>
      <c r="AB347" s="438" t="s">
        <v>1083</v>
      </c>
      <c r="AC347" s="439" t="str">
        <f t="shared" si="5"/>
        <v>長野県塩尻市</v>
      </c>
      <c r="AD347" s="460">
        <v>10.210000000000001</v>
      </c>
      <c r="AE347" s="438">
        <v>10.17</v>
      </c>
      <c r="AF347" s="459">
        <v>10.14</v>
      </c>
      <c r="AG347" s="417"/>
      <c r="AH347" s="417"/>
    </row>
    <row r="348" spans="22:34">
      <c r="V348" s="4" t="s">
        <v>299</v>
      </c>
      <c r="W348" s="4" t="s">
        <v>1084</v>
      </c>
      <c r="X348" s="2"/>
      <c r="Y348" s="435" t="s">
        <v>953</v>
      </c>
      <c r="Z348" s="436">
        <v>0.03</v>
      </c>
      <c r="AA348" s="483" t="s">
        <v>363</v>
      </c>
      <c r="AB348" s="438" t="s">
        <v>1085</v>
      </c>
      <c r="AC348" s="439" t="str">
        <f t="shared" si="5"/>
        <v>岐阜県大垣市</v>
      </c>
      <c r="AD348" s="460">
        <v>10.210000000000001</v>
      </c>
      <c r="AE348" s="438">
        <v>10.17</v>
      </c>
      <c r="AF348" s="459">
        <v>10.14</v>
      </c>
      <c r="AG348" s="417"/>
      <c r="AH348" s="417"/>
    </row>
    <row r="349" spans="22:34">
      <c r="V349" s="4" t="s">
        <v>299</v>
      </c>
      <c r="W349" s="4" t="s">
        <v>1086</v>
      </c>
      <c r="X349" s="2"/>
      <c r="Y349" s="435" t="s">
        <v>953</v>
      </c>
      <c r="Z349" s="436">
        <v>0.03</v>
      </c>
      <c r="AA349" s="483" t="s">
        <v>363</v>
      </c>
      <c r="AB349" s="438" t="s">
        <v>1087</v>
      </c>
      <c r="AC349" s="439" t="str">
        <f t="shared" si="5"/>
        <v>岐阜県多治見市</v>
      </c>
      <c r="AD349" s="460">
        <v>10.210000000000001</v>
      </c>
      <c r="AE349" s="438">
        <v>10.17</v>
      </c>
      <c r="AF349" s="459">
        <v>10.14</v>
      </c>
      <c r="AG349" s="417"/>
      <c r="AH349" s="417"/>
    </row>
    <row r="350" spans="22:34">
      <c r="V350" s="4" t="s">
        <v>299</v>
      </c>
      <c r="W350" s="4" t="s">
        <v>1088</v>
      </c>
      <c r="X350" s="2"/>
      <c r="Y350" s="435" t="s">
        <v>953</v>
      </c>
      <c r="Z350" s="436">
        <v>0.03</v>
      </c>
      <c r="AA350" s="483" t="s">
        <v>363</v>
      </c>
      <c r="AB350" s="438" t="s">
        <v>1089</v>
      </c>
      <c r="AC350" s="439" t="str">
        <f t="shared" si="5"/>
        <v>岐阜県美濃加茂市</v>
      </c>
      <c r="AD350" s="460">
        <v>10.210000000000001</v>
      </c>
      <c r="AE350" s="438">
        <v>10.17</v>
      </c>
      <c r="AF350" s="459">
        <v>10.14</v>
      </c>
      <c r="AG350" s="417"/>
      <c r="AH350" s="417"/>
    </row>
    <row r="351" spans="22:34">
      <c r="V351" s="4" t="s">
        <v>299</v>
      </c>
      <c r="W351" s="4" t="s">
        <v>1090</v>
      </c>
      <c r="X351" s="2"/>
      <c r="Y351" s="435" t="s">
        <v>953</v>
      </c>
      <c r="Z351" s="436">
        <v>0.03</v>
      </c>
      <c r="AA351" s="483" t="s">
        <v>363</v>
      </c>
      <c r="AB351" s="438" t="s">
        <v>1091</v>
      </c>
      <c r="AC351" s="439" t="str">
        <f t="shared" si="5"/>
        <v>岐阜県各務原市</v>
      </c>
      <c r="AD351" s="460">
        <v>10.210000000000001</v>
      </c>
      <c r="AE351" s="438">
        <v>10.17</v>
      </c>
      <c r="AF351" s="459">
        <v>10.14</v>
      </c>
      <c r="AG351" s="417"/>
      <c r="AH351" s="417"/>
    </row>
    <row r="352" spans="22:34">
      <c r="V352" s="4" t="s">
        <v>299</v>
      </c>
      <c r="W352" s="4" t="s">
        <v>1092</v>
      </c>
      <c r="X352" s="2"/>
      <c r="Y352" s="435" t="s">
        <v>953</v>
      </c>
      <c r="Z352" s="436">
        <v>0.03</v>
      </c>
      <c r="AA352" s="483" t="s">
        <v>363</v>
      </c>
      <c r="AB352" s="438" t="s">
        <v>1093</v>
      </c>
      <c r="AC352" s="439" t="str">
        <f t="shared" si="5"/>
        <v>岐阜県可児市</v>
      </c>
      <c r="AD352" s="460">
        <v>10.210000000000001</v>
      </c>
      <c r="AE352" s="438">
        <v>10.17</v>
      </c>
      <c r="AF352" s="459">
        <v>10.14</v>
      </c>
      <c r="AG352" s="417"/>
      <c r="AH352" s="417"/>
    </row>
    <row r="353" spans="22:34">
      <c r="V353" s="4" t="s">
        <v>299</v>
      </c>
      <c r="W353" s="4" t="s">
        <v>1094</v>
      </c>
      <c r="X353" s="2"/>
      <c r="Y353" s="435" t="s">
        <v>953</v>
      </c>
      <c r="Z353" s="436">
        <v>0.03</v>
      </c>
      <c r="AA353" s="483" t="s">
        <v>367</v>
      </c>
      <c r="AB353" s="438" t="s">
        <v>1095</v>
      </c>
      <c r="AC353" s="439" t="str">
        <f t="shared" si="5"/>
        <v>静岡県浜松市</v>
      </c>
      <c r="AD353" s="460">
        <v>10.210000000000001</v>
      </c>
      <c r="AE353" s="438">
        <v>10.17</v>
      </c>
      <c r="AF353" s="459">
        <v>10.14</v>
      </c>
      <c r="AG353" s="417"/>
      <c r="AH353" s="417"/>
    </row>
    <row r="354" spans="22:34">
      <c r="V354" s="4" t="s">
        <v>299</v>
      </c>
      <c r="W354" s="4" t="s">
        <v>1096</v>
      </c>
      <c r="X354" s="2"/>
      <c r="Y354" s="435" t="s">
        <v>953</v>
      </c>
      <c r="Z354" s="436">
        <v>0.03</v>
      </c>
      <c r="AA354" s="483" t="s">
        <v>367</v>
      </c>
      <c r="AB354" s="438" t="s">
        <v>1097</v>
      </c>
      <c r="AC354" s="439" t="str">
        <f t="shared" si="5"/>
        <v>静岡県沼津市</v>
      </c>
      <c r="AD354" s="460">
        <v>10.210000000000001</v>
      </c>
      <c r="AE354" s="438">
        <v>10.17</v>
      </c>
      <c r="AF354" s="459">
        <v>10.14</v>
      </c>
      <c r="AG354" s="417"/>
      <c r="AH354" s="417"/>
    </row>
    <row r="355" spans="22:34">
      <c r="V355" s="4" t="s">
        <v>299</v>
      </c>
      <c r="W355" s="4" t="s">
        <v>1098</v>
      </c>
      <c r="X355" s="2"/>
      <c r="Y355" s="435" t="s">
        <v>953</v>
      </c>
      <c r="Z355" s="436">
        <v>0.03</v>
      </c>
      <c r="AA355" s="483" t="s">
        <v>367</v>
      </c>
      <c r="AB355" s="438" t="s">
        <v>1099</v>
      </c>
      <c r="AC355" s="439" t="str">
        <f t="shared" si="5"/>
        <v>静岡県三島市</v>
      </c>
      <c r="AD355" s="460">
        <v>10.210000000000001</v>
      </c>
      <c r="AE355" s="438">
        <v>10.17</v>
      </c>
      <c r="AF355" s="459">
        <v>10.14</v>
      </c>
      <c r="AG355" s="417"/>
      <c r="AH355" s="417"/>
    </row>
    <row r="356" spans="22:34">
      <c r="V356" s="4" t="s">
        <v>303</v>
      </c>
      <c r="W356" s="4" t="s">
        <v>1100</v>
      </c>
      <c r="X356" s="2"/>
      <c r="Y356" s="435" t="s">
        <v>953</v>
      </c>
      <c r="Z356" s="436">
        <v>0.03</v>
      </c>
      <c r="AA356" s="483" t="s">
        <v>367</v>
      </c>
      <c r="AB356" s="438" t="s">
        <v>1101</v>
      </c>
      <c r="AC356" s="439" t="str">
        <f t="shared" si="5"/>
        <v>静岡県富士宮市</v>
      </c>
      <c r="AD356" s="460">
        <v>10.210000000000001</v>
      </c>
      <c r="AE356" s="438">
        <v>10.17</v>
      </c>
      <c r="AF356" s="459">
        <v>10.14</v>
      </c>
      <c r="AG356" s="417"/>
      <c r="AH356" s="417"/>
    </row>
    <row r="357" spans="22:34">
      <c r="V357" s="4" t="s">
        <v>303</v>
      </c>
      <c r="W357" s="4" t="s">
        <v>1102</v>
      </c>
      <c r="X357" s="2"/>
      <c r="Y357" s="435" t="s">
        <v>953</v>
      </c>
      <c r="Z357" s="436">
        <v>0.03</v>
      </c>
      <c r="AA357" s="483" t="s">
        <v>367</v>
      </c>
      <c r="AB357" s="438" t="s">
        <v>1103</v>
      </c>
      <c r="AC357" s="439" t="str">
        <f t="shared" si="5"/>
        <v>静岡県島田市</v>
      </c>
      <c r="AD357" s="460">
        <v>10.210000000000001</v>
      </c>
      <c r="AE357" s="438">
        <v>10.17</v>
      </c>
      <c r="AF357" s="459">
        <v>10.14</v>
      </c>
      <c r="AG357" s="417"/>
      <c r="AH357" s="417"/>
    </row>
    <row r="358" spans="22:34">
      <c r="V358" s="4" t="s">
        <v>303</v>
      </c>
      <c r="W358" s="4" t="s">
        <v>1104</v>
      </c>
      <c r="X358" s="2"/>
      <c r="Y358" s="435" t="s">
        <v>953</v>
      </c>
      <c r="Z358" s="436">
        <v>0.03</v>
      </c>
      <c r="AA358" s="483" t="s">
        <v>367</v>
      </c>
      <c r="AB358" s="438" t="s">
        <v>1105</v>
      </c>
      <c r="AC358" s="439" t="str">
        <f t="shared" si="5"/>
        <v>静岡県富士市</v>
      </c>
      <c r="AD358" s="460">
        <v>10.210000000000001</v>
      </c>
      <c r="AE358" s="438">
        <v>10.17</v>
      </c>
      <c r="AF358" s="459">
        <v>10.14</v>
      </c>
      <c r="AG358" s="417"/>
      <c r="AH358" s="417"/>
    </row>
    <row r="359" spans="22:34">
      <c r="V359" s="4" t="s">
        <v>303</v>
      </c>
      <c r="W359" s="4" t="s">
        <v>1106</v>
      </c>
      <c r="X359" s="2"/>
      <c r="Y359" s="435" t="s">
        <v>953</v>
      </c>
      <c r="Z359" s="436">
        <v>0.03</v>
      </c>
      <c r="AA359" s="483" t="s">
        <v>367</v>
      </c>
      <c r="AB359" s="438" t="s">
        <v>1107</v>
      </c>
      <c r="AC359" s="439" t="str">
        <f t="shared" si="5"/>
        <v>静岡県磐田市</v>
      </c>
      <c r="AD359" s="460">
        <v>10.210000000000001</v>
      </c>
      <c r="AE359" s="438">
        <v>10.17</v>
      </c>
      <c r="AF359" s="459">
        <v>10.14</v>
      </c>
      <c r="AG359" s="417"/>
      <c r="AH359" s="417"/>
    </row>
    <row r="360" spans="22:34">
      <c r="V360" s="4" t="s">
        <v>303</v>
      </c>
      <c r="W360" s="4" t="s">
        <v>1108</v>
      </c>
      <c r="X360" s="2"/>
      <c r="Y360" s="435" t="s">
        <v>953</v>
      </c>
      <c r="Z360" s="436">
        <v>0.03</v>
      </c>
      <c r="AA360" s="483" t="s">
        <v>367</v>
      </c>
      <c r="AB360" s="438" t="s">
        <v>1109</v>
      </c>
      <c r="AC360" s="439" t="str">
        <f t="shared" si="5"/>
        <v>静岡県焼津市</v>
      </c>
      <c r="AD360" s="460">
        <v>10.210000000000001</v>
      </c>
      <c r="AE360" s="438">
        <v>10.17</v>
      </c>
      <c r="AF360" s="459">
        <v>10.14</v>
      </c>
      <c r="AG360" s="417"/>
      <c r="AH360" s="417"/>
    </row>
    <row r="361" spans="22:34">
      <c r="V361" s="4" t="s">
        <v>303</v>
      </c>
      <c r="W361" s="4" t="s">
        <v>1110</v>
      </c>
      <c r="X361" s="2"/>
      <c r="Y361" s="435" t="s">
        <v>953</v>
      </c>
      <c r="Z361" s="436">
        <v>0.03</v>
      </c>
      <c r="AA361" s="483" t="s">
        <v>367</v>
      </c>
      <c r="AB361" s="438" t="s">
        <v>1111</v>
      </c>
      <c r="AC361" s="439" t="str">
        <f t="shared" si="5"/>
        <v>静岡県掛川市</v>
      </c>
      <c r="AD361" s="460">
        <v>10.210000000000001</v>
      </c>
      <c r="AE361" s="438">
        <v>10.17</v>
      </c>
      <c r="AF361" s="459">
        <v>10.14</v>
      </c>
      <c r="AG361" s="417"/>
      <c r="AH361" s="417"/>
    </row>
    <row r="362" spans="22:34">
      <c r="V362" s="4" t="s">
        <v>303</v>
      </c>
      <c r="W362" s="4" t="s">
        <v>1112</v>
      </c>
      <c r="X362" s="2"/>
      <c r="Y362" s="435" t="s">
        <v>953</v>
      </c>
      <c r="Z362" s="436">
        <v>0.03</v>
      </c>
      <c r="AA362" s="483" t="s">
        <v>367</v>
      </c>
      <c r="AB362" s="438" t="s">
        <v>1113</v>
      </c>
      <c r="AC362" s="439" t="str">
        <f t="shared" si="5"/>
        <v>静岡県藤枝市</v>
      </c>
      <c r="AD362" s="460">
        <v>10.210000000000001</v>
      </c>
      <c r="AE362" s="438">
        <v>10.17</v>
      </c>
      <c r="AF362" s="459">
        <v>10.14</v>
      </c>
      <c r="AG362" s="417"/>
      <c r="AH362" s="417"/>
    </row>
    <row r="363" spans="22:34">
      <c r="V363" s="4" t="s">
        <v>303</v>
      </c>
      <c r="W363" s="4" t="s">
        <v>1114</v>
      </c>
      <c r="X363" s="2"/>
      <c r="Y363" s="435" t="s">
        <v>953</v>
      </c>
      <c r="Z363" s="436">
        <v>0.03</v>
      </c>
      <c r="AA363" s="483" t="s">
        <v>367</v>
      </c>
      <c r="AB363" s="438" t="s">
        <v>1115</v>
      </c>
      <c r="AC363" s="439" t="str">
        <f t="shared" si="5"/>
        <v>静岡県御殿場市</v>
      </c>
      <c r="AD363" s="460">
        <v>10.210000000000001</v>
      </c>
      <c r="AE363" s="438">
        <v>10.17</v>
      </c>
      <c r="AF363" s="459">
        <v>10.14</v>
      </c>
      <c r="AG363" s="417"/>
      <c r="AH363" s="417"/>
    </row>
    <row r="364" spans="22:34">
      <c r="V364" s="4" t="s">
        <v>303</v>
      </c>
      <c r="W364" s="4" t="s">
        <v>1116</v>
      </c>
      <c r="X364" s="2"/>
      <c r="Y364" s="435" t="s">
        <v>953</v>
      </c>
      <c r="Z364" s="436">
        <v>0.03</v>
      </c>
      <c r="AA364" s="483" t="s">
        <v>367</v>
      </c>
      <c r="AB364" s="438" t="s">
        <v>1117</v>
      </c>
      <c r="AC364" s="439" t="str">
        <f t="shared" si="5"/>
        <v>静岡県袋井市</v>
      </c>
      <c r="AD364" s="460">
        <v>10.210000000000001</v>
      </c>
      <c r="AE364" s="438">
        <v>10.17</v>
      </c>
      <c r="AF364" s="459">
        <v>10.14</v>
      </c>
      <c r="AG364" s="417"/>
      <c r="AH364" s="417"/>
    </row>
    <row r="365" spans="22:34">
      <c r="V365" s="4" t="s">
        <v>303</v>
      </c>
      <c r="W365" s="4" t="s">
        <v>1118</v>
      </c>
      <c r="X365" s="2"/>
      <c r="Y365" s="435" t="s">
        <v>953</v>
      </c>
      <c r="Z365" s="436">
        <v>0.03</v>
      </c>
      <c r="AA365" s="483" t="s">
        <v>367</v>
      </c>
      <c r="AB365" s="438" t="s">
        <v>1119</v>
      </c>
      <c r="AC365" s="439" t="str">
        <f t="shared" si="5"/>
        <v>静岡県裾野市</v>
      </c>
      <c r="AD365" s="460">
        <v>10.210000000000001</v>
      </c>
      <c r="AE365" s="438">
        <v>10.17</v>
      </c>
      <c r="AF365" s="459">
        <v>10.14</v>
      </c>
      <c r="AG365" s="417"/>
      <c r="AH365" s="417"/>
    </row>
    <row r="366" spans="22:34">
      <c r="V366" s="4" t="s">
        <v>303</v>
      </c>
      <c r="W366" s="4" t="s">
        <v>1120</v>
      </c>
      <c r="X366" s="2"/>
      <c r="Y366" s="435" t="s">
        <v>953</v>
      </c>
      <c r="Z366" s="436">
        <v>0.03</v>
      </c>
      <c r="AA366" s="483" t="s">
        <v>367</v>
      </c>
      <c r="AB366" s="438" t="s">
        <v>1121</v>
      </c>
      <c r="AC366" s="439" t="str">
        <f t="shared" si="5"/>
        <v>静岡県函南町</v>
      </c>
      <c r="AD366" s="460">
        <v>10.210000000000001</v>
      </c>
      <c r="AE366" s="438">
        <v>10.17</v>
      </c>
      <c r="AF366" s="459">
        <v>10.14</v>
      </c>
      <c r="AG366" s="417"/>
      <c r="AH366" s="417"/>
    </row>
    <row r="367" spans="22:34">
      <c r="V367" s="4" t="s">
        <v>303</v>
      </c>
      <c r="W367" s="4" t="s">
        <v>413</v>
      </c>
      <c r="X367" s="2"/>
      <c r="Y367" s="435" t="s">
        <v>953</v>
      </c>
      <c r="Z367" s="436">
        <v>0.03</v>
      </c>
      <c r="AA367" s="483" t="s">
        <v>367</v>
      </c>
      <c r="AB367" s="438" t="s">
        <v>1122</v>
      </c>
      <c r="AC367" s="439" t="str">
        <f t="shared" si="5"/>
        <v>静岡県清水町</v>
      </c>
      <c r="AD367" s="460">
        <v>10.210000000000001</v>
      </c>
      <c r="AE367" s="438">
        <v>10.17</v>
      </c>
      <c r="AF367" s="459">
        <v>10.14</v>
      </c>
      <c r="AG367" s="417"/>
      <c r="AH367" s="417"/>
    </row>
    <row r="368" spans="22:34">
      <c r="V368" s="4" t="s">
        <v>303</v>
      </c>
      <c r="W368" s="4" t="s">
        <v>1123</v>
      </c>
      <c r="X368" s="2"/>
      <c r="Y368" s="435" t="s">
        <v>953</v>
      </c>
      <c r="Z368" s="436">
        <v>0.03</v>
      </c>
      <c r="AA368" s="483" t="s">
        <v>367</v>
      </c>
      <c r="AB368" s="438" t="s">
        <v>1124</v>
      </c>
      <c r="AC368" s="439" t="str">
        <f t="shared" si="5"/>
        <v>静岡県長泉町</v>
      </c>
      <c r="AD368" s="460">
        <v>10.210000000000001</v>
      </c>
      <c r="AE368" s="438">
        <v>10.17</v>
      </c>
      <c r="AF368" s="459">
        <v>10.14</v>
      </c>
      <c r="AG368" s="417"/>
      <c r="AH368" s="417"/>
    </row>
    <row r="369" spans="22:34">
      <c r="V369" s="4" t="s">
        <v>303</v>
      </c>
      <c r="W369" s="4" t="s">
        <v>1125</v>
      </c>
      <c r="X369" s="2"/>
      <c r="Y369" s="435" t="s">
        <v>953</v>
      </c>
      <c r="Z369" s="436">
        <v>0.03</v>
      </c>
      <c r="AA369" s="483" t="s">
        <v>367</v>
      </c>
      <c r="AB369" s="438" t="s">
        <v>1126</v>
      </c>
      <c r="AC369" s="439" t="str">
        <f t="shared" si="5"/>
        <v>静岡県小山町</v>
      </c>
      <c r="AD369" s="460">
        <v>10.210000000000001</v>
      </c>
      <c r="AE369" s="438">
        <v>10.17</v>
      </c>
      <c r="AF369" s="459">
        <v>10.14</v>
      </c>
      <c r="AG369" s="417"/>
      <c r="AH369" s="417"/>
    </row>
    <row r="370" spans="22:34">
      <c r="V370" s="4" t="s">
        <v>303</v>
      </c>
      <c r="W370" s="4" t="s">
        <v>1127</v>
      </c>
      <c r="X370" s="2"/>
      <c r="Y370" s="435" t="s">
        <v>953</v>
      </c>
      <c r="Z370" s="436">
        <v>0.03</v>
      </c>
      <c r="AA370" s="483" t="s">
        <v>367</v>
      </c>
      <c r="AB370" s="438" t="s">
        <v>1128</v>
      </c>
      <c r="AC370" s="439" t="str">
        <f t="shared" si="5"/>
        <v>静岡県川根本町</v>
      </c>
      <c r="AD370" s="460">
        <v>10.210000000000001</v>
      </c>
      <c r="AE370" s="438">
        <v>10.17</v>
      </c>
      <c r="AF370" s="459">
        <v>10.14</v>
      </c>
      <c r="AG370" s="417"/>
      <c r="AH370" s="417"/>
    </row>
    <row r="371" spans="22:34">
      <c r="V371" s="4" t="s">
        <v>303</v>
      </c>
      <c r="W371" s="4" t="s">
        <v>1129</v>
      </c>
      <c r="X371" s="2"/>
      <c r="Y371" s="435" t="s">
        <v>953</v>
      </c>
      <c r="Z371" s="436">
        <v>0.03</v>
      </c>
      <c r="AA371" s="483" t="s">
        <v>367</v>
      </c>
      <c r="AB371" s="438" t="s">
        <v>1130</v>
      </c>
      <c r="AC371" s="439" t="str">
        <f t="shared" si="5"/>
        <v>静岡県森町</v>
      </c>
      <c r="AD371" s="460">
        <v>10.210000000000001</v>
      </c>
      <c r="AE371" s="438">
        <v>10.17</v>
      </c>
      <c r="AF371" s="459">
        <v>10.14</v>
      </c>
      <c r="AG371" s="417"/>
      <c r="AH371" s="417"/>
    </row>
    <row r="372" spans="22:34">
      <c r="V372" s="4" t="s">
        <v>303</v>
      </c>
      <c r="W372" s="4" t="s">
        <v>1131</v>
      </c>
      <c r="X372" s="2"/>
      <c r="Y372" s="435" t="s">
        <v>953</v>
      </c>
      <c r="Z372" s="436">
        <v>0.03</v>
      </c>
      <c r="AA372" s="483" t="s">
        <v>371</v>
      </c>
      <c r="AB372" s="438" t="s">
        <v>1132</v>
      </c>
      <c r="AC372" s="439" t="str">
        <f t="shared" si="5"/>
        <v>愛知県豊橋市</v>
      </c>
      <c r="AD372" s="460">
        <v>10.210000000000001</v>
      </c>
      <c r="AE372" s="438">
        <v>10.17</v>
      </c>
      <c r="AF372" s="459">
        <v>10.14</v>
      </c>
      <c r="AG372" s="417"/>
      <c r="AH372" s="417"/>
    </row>
    <row r="373" spans="22:34">
      <c r="V373" s="4" t="s">
        <v>303</v>
      </c>
      <c r="W373" s="4" t="s">
        <v>1133</v>
      </c>
      <c r="X373" s="2"/>
      <c r="Y373" s="435" t="s">
        <v>953</v>
      </c>
      <c r="Z373" s="436">
        <v>0.03</v>
      </c>
      <c r="AA373" s="483" t="s">
        <v>371</v>
      </c>
      <c r="AB373" s="438" t="s">
        <v>1134</v>
      </c>
      <c r="AC373" s="439" t="str">
        <f t="shared" si="5"/>
        <v>愛知県半田市</v>
      </c>
      <c r="AD373" s="460">
        <v>10.210000000000001</v>
      </c>
      <c r="AE373" s="438">
        <v>10.17</v>
      </c>
      <c r="AF373" s="459">
        <v>10.14</v>
      </c>
      <c r="AG373" s="417"/>
      <c r="AH373" s="417"/>
    </row>
    <row r="374" spans="22:34">
      <c r="V374" s="4" t="s">
        <v>303</v>
      </c>
      <c r="W374" s="4" t="s">
        <v>1135</v>
      </c>
      <c r="X374" s="2"/>
      <c r="Y374" s="435" t="s">
        <v>953</v>
      </c>
      <c r="Z374" s="436">
        <v>0.03</v>
      </c>
      <c r="AA374" s="483" t="s">
        <v>371</v>
      </c>
      <c r="AB374" s="438" t="s">
        <v>1136</v>
      </c>
      <c r="AC374" s="439" t="str">
        <f t="shared" si="5"/>
        <v>愛知県豊川市</v>
      </c>
      <c r="AD374" s="460">
        <v>10.210000000000001</v>
      </c>
      <c r="AE374" s="438">
        <v>10.17</v>
      </c>
      <c r="AF374" s="459">
        <v>10.14</v>
      </c>
      <c r="AG374" s="417"/>
      <c r="AH374" s="417"/>
    </row>
    <row r="375" spans="22:34">
      <c r="V375" s="4" t="s">
        <v>303</v>
      </c>
      <c r="W375" s="4" t="s">
        <v>1137</v>
      </c>
      <c r="X375" s="2"/>
      <c r="Y375" s="435" t="s">
        <v>953</v>
      </c>
      <c r="Z375" s="436">
        <v>0.03</v>
      </c>
      <c r="AA375" s="483" t="s">
        <v>371</v>
      </c>
      <c r="AB375" s="438" t="s">
        <v>1138</v>
      </c>
      <c r="AC375" s="439" t="str">
        <f t="shared" si="5"/>
        <v>愛知県蒲郡市</v>
      </c>
      <c r="AD375" s="460">
        <v>10.210000000000001</v>
      </c>
      <c r="AE375" s="438">
        <v>10.17</v>
      </c>
      <c r="AF375" s="459">
        <v>10.14</v>
      </c>
      <c r="AG375" s="417"/>
      <c r="AH375" s="417"/>
    </row>
    <row r="376" spans="22:34">
      <c r="V376" s="4" t="s">
        <v>303</v>
      </c>
      <c r="W376" s="4" t="s">
        <v>1139</v>
      </c>
      <c r="X376" s="2"/>
      <c r="Y376" s="435" t="s">
        <v>953</v>
      </c>
      <c r="Z376" s="436">
        <v>0.03</v>
      </c>
      <c r="AA376" s="483" t="s">
        <v>371</v>
      </c>
      <c r="AB376" s="438" t="s">
        <v>1140</v>
      </c>
      <c r="AC376" s="439" t="str">
        <f t="shared" si="5"/>
        <v>愛知県常滑市</v>
      </c>
      <c r="AD376" s="460">
        <v>10.210000000000001</v>
      </c>
      <c r="AE376" s="438">
        <v>10.17</v>
      </c>
      <c r="AF376" s="459">
        <v>10.14</v>
      </c>
      <c r="AG376" s="417"/>
      <c r="AH376" s="417"/>
    </row>
    <row r="377" spans="22:34">
      <c r="V377" s="4" t="s">
        <v>303</v>
      </c>
      <c r="W377" s="4" t="s">
        <v>1141</v>
      </c>
      <c r="X377" s="2"/>
      <c r="Y377" s="435" t="s">
        <v>953</v>
      </c>
      <c r="Z377" s="436">
        <v>0.03</v>
      </c>
      <c r="AA377" s="483" t="s">
        <v>371</v>
      </c>
      <c r="AB377" s="438" t="s">
        <v>1142</v>
      </c>
      <c r="AC377" s="439" t="str">
        <f t="shared" si="5"/>
        <v>愛知県小牧市</v>
      </c>
      <c r="AD377" s="460">
        <v>10.210000000000001</v>
      </c>
      <c r="AE377" s="438">
        <v>10.17</v>
      </c>
      <c r="AF377" s="459">
        <v>10.14</v>
      </c>
      <c r="AG377" s="417"/>
      <c r="AH377" s="417"/>
    </row>
    <row r="378" spans="22:34">
      <c r="V378" s="4" t="s">
        <v>303</v>
      </c>
      <c r="W378" s="4" t="s">
        <v>1143</v>
      </c>
      <c r="X378" s="2"/>
      <c r="Y378" s="435" t="s">
        <v>953</v>
      </c>
      <c r="Z378" s="436">
        <v>0.03</v>
      </c>
      <c r="AA378" s="483" t="s">
        <v>371</v>
      </c>
      <c r="AB378" s="438" t="s">
        <v>1144</v>
      </c>
      <c r="AC378" s="439" t="str">
        <f t="shared" si="5"/>
        <v>愛知県新城市</v>
      </c>
      <c r="AD378" s="460">
        <v>10.210000000000001</v>
      </c>
      <c r="AE378" s="438">
        <v>10.17</v>
      </c>
      <c r="AF378" s="459">
        <v>10.14</v>
      </c>
      <c r="AG378" s="417"/>
      <c r="AH378" s="417"/>
    </row>
    <row r="379" spans="22:34">
      <c r="V379" s="4" t="s">
        <v>303</v>
      </c>
      <c r="W379" s="4" t="s">
        <v>1145</v>
      </c>
      <c r="X379" s="2"/>
      <c r="Y379" s="435" t="s">
        <v>953</v>
      </c>
      <c r="Z379" s="436">
        <v>0.03</v>
      </c>
      <c r="AA379" s="483" t="s">
        <v>371</v>
      </c>
      <c r="AB379" s="438" t="s">
        <v>1146</v>
      </c>
      <c r="AC379" s="439" t="str">
        <f t="shared" si="5"/>
        <v>愛知県東海市</v>
      </c>
      <c r="AD379" s="460">
        <v>10.210000000000001</v>
      </c>
      <c r="AE379" s="438">
        <v>10.17</v>
      </c>
      <c r="AF379" s="459">
        <v>10.14</v>
      </c>
      <c r="AG379" s="417"/>
      <c r="AH379" s="417"/>
    </row>
    <row r="380" spans="22:34">
      <c r="V380" s="4" t="s">
        <v>303</v>
      </c>
      <c r="W380" s="4" t="s">
        <v>1147</v>
      </c>
      <c r="X380" s="2"/>
      <c r="Y380" s="435" t="s">
        <v>953</v>
      </c>
      <c r="Z380" s="436">
        <v>0.03</v>
      </c>
      <c r="AA380" s="483" t="s">
        <v>371</v>
      </c>
      <c r="AB380" s="438" t="s">
        <v>1148</v>
      </c>
      <c r="AC380" s="439" t="str">
        <f t="shared" si="5"/>
        <v>愛知県大府市</v>
      </c>
      <c r="AD380" s="460">
        <v>10.210000000000001</v>
      </c>
      <c r="AE380" s="438">
        <v>10.17</v>
      </c>
      <c r="AF380" s="459">
        <v>10.14</v>
      </c>
      <c r="AG380" s="417"/>
      <c r="AH380" s="417"/>
    </row>
    <row r="381" spans="22:34">
      <c r="V381" s="4" t="s">
        <v>303</v>
      </c>
      <c r="W381" s="4" t="s">
        <v>1149</v>
      </c>
      <c r="X381" s="2"/>
      <c r="Y381" s="435" t="s">
        <v>953</v>
      </c>
      <c r="Z381" s="436">
        <v>0.03</v>
      </c>
      <c r="AA381" s="483" t="s">
        <v>371</v>
      </c>
      <c r="AB381" s="438" t="s">
        <v>1150</v>
      </c>
      <c r="AC381" s="439" t="str">
        <f t="shared" si="5"/>
        <v>愛知県知多市</v>
      </c>
      <c r="AD381" s="460">
        <v>10.210000000000001</v>
      </c>
      <c r="AE381" s="438">
        <v>10.17</v>
      </c>
      <c r="AF381" s="459">
        <v>10.14</v>
      </c>
      <c r="AG381" s="417"/>
      <c r="AH381" s="417"/>
    </row>
    <row r="382" spans="22:34">
      <c r="V382" s="4" t="s">
        <v>303</v>
      </c>
      <c r="W382" s="4" t="s">
        <v>1151</v>
      </c>
      <c r="X382" s="2"/>
      <c r="Y382" s="435" t="s">
        <v>953</v>
      </c>
      <c r="Z382" s="436">
        <v>0.03</v>
      </c>
      <c r="AA382" s="483" t="s">
        <v>371</v>
      </c>
      <c r="AB382" s="438" t="s">
        <v>1152</v>
      </c>
      <c r="AC382" s="439" t="str">
        <f t="shared" si="5"/>
        <v>愛知県高浜市</v>
      </c>
      <c r="AD382" s="460">
        <v>10.210000000000001</v>
      </c>
      <c r="AE382" s="438">
        <v>10.17</v>
      </c>
      <c r="AF382" s="459">
        <v>10.14</v>
      </c>
      <c r="AG382" s="417"/>
      <c r="AH382" s="417"/>
    </row>
    <row r="383" spans="22:34">
      <c r="V383" s="4" t="s">
        <v>303</v>
      </c>
      <c r="W383" s="4" t="s">
        <v>1153</v>
      </c>
      <c r="X383" s="2"/>
      <c r="Y383" s="435" t="s">
        <v>953</v>
      </c>
      <c r="Z383" s="436">
        <v>0.03</v>
      </c>
      <c r="AA383" s="483" t="s">
        <v>371</v>
      </c>
      <c r="AB383" s="438" t="s">
        <v>1154</v>
      </c>
      <c r="AC383" s="439" t="str">
        <f t="shared" si="5"/>
        <v>愛知県田原市</v>
      </c>
      <c r="AD383" s="460">
        <v>10.210000000000001</v>
      </c>
      <c r="AE383" s="438">
        <v>10.17</v>
      </c>
      <c r="AF383" s="459">
        <v>10.14</v>
      </c>
      <c r="AG383" s="417"/>
      <c r="AH383" s="417"/>
    </row>
    <row r="384" spans="22:34">
      <c r="V384" s="4" t="s">
        <v>303</v>
      </c>
      <c r="W384" s="4" t="s">
        <v>1155</v>
      </c>
      <c r="X384" s="2"/>
      <c r="Y384" s="435" t="s">
        <v>953</v>
      </c>
      <c r="Z384" s="436">
        <v>0.03</v>
      </c>
      <c r="AA384" s="483" t="s">
        <v>371</v>
      </c>
      <c r="AB384" s="438" t="s">
        <v>1156</v>
      </c>
      <c r="AC384" s="439" t="str">
        <f t="shared" si="5"/>
        <v>愛知県大口町</v>
      </c>
      <c r="AD384" s="460">
        <v>10.210000000000001</v>
      </c>
      <c r="AE384" s="438">
        <v>10.17</v>
      </c>
      <c r="AF384" s="459">
        <v>10.14</v>
      </c>
      <c r="AG384" s="417"/>
      <c r="AH384" s="417"/>
    </row>
    <row r="385" spans="22:34">
      <c r="V385" s="4" t="s">
        <v>303</v>
      </c>
      <c r="W385" s="4" t="s">
        <v>1157</v>
      </c>
      <c r="X385" s="2"/>
      <c r="Y385" s="435" t="s">
        <v>953</v>
      </c>
      <c r="Z385" s="436">
        <v>0.03</v>
      </c>
      <c r="AA385" s="483" t="s">
        <v>371</v>
      </c>
      <c r="AB385" s="438" t="s">
        <v>1158</v>
      </c>
      <c r="AC385" s="439" t="str">
        <f t="shared" si="5"/>
        <v>愛知県扶桑町</v>
      </c>
      <c r="AD385" s="460">
        <v>10.210000000000001</v>
      </c>
      <c r="AE385" s="438">
        <v>10.17</v>
      </c>
      <c r="AF385" s="459">
        <v>10.14</v>
      </c>
      <c r="AG385" s="417"/>
      <c r="AH385" s="417"/>
    </row>
    <row r="386" spans="22:34">
      <c r="V386" s="4" t="s">
        <v>303</v>
      </c>
      <c r="W386" s="4" t="s">
        <v>1159</v>
      </c>
      <c r="X386" s="2"/>
      <c r="Y386" s="435" t="s">
        <v>953</v>
      </c>
      <c r="Z386" s="436">
        <v>0.03</v>
      </c>
      <c r="AA386" s="483" t="s">
        <v>371</v>
      </c>
      <c r="AB386" s="438" t="s">
        <v>1160</v>
      </c>
      <c r="AC386" s="439" t="str">
        <f t="shared" si="5"/>
        <v>愛知県阿久比町</v>
      </c>
      <c r="AD386" s="460">
        <v>10.210000000000001</v>
      </c>
      <c r="AE386" s="438">
        <v>10.17</v>
      </c>
      <c r="AF386" s="459">
        <v>10.14</v>
      </c>
      <c r="AG386" s="417"/>
      <c r="AH386" s="417"/>
    </row>
    <row r="387" spans="22:34">
      <c r="V387" s="4" t="s">
        <v>303</v>
      </c>
      <c r="W387" s="4" t="s">
        <v>1070</v>
      </c>
      <c r="X387" s="2"/>
      <c r="Y387" s="435" t="s">
        <v>953</v>
      </c>
      <c r="Z387" s="436">
        <v>0.03</v>
      </c>
      <c r="AA387" s="483" t="s">
        <v>371</v>
      </c>
      <c r="AB387" s="438" t="s">
        <v>1161</v>
      </c>
      <c r="AC387" s="439" t="str">
        <f t="shared" si="5"/>
        <v>愛知県東浦町</v>
      </c>
      <c r="AD387" s="460">
        <v>10.210000000000001</v>
      </c>
      <c r="AE387" s="438">
        <v>10.17</v>
      </c>
      <c r="AF387" s="459">
        <v>10.14</v>
      </c>
      <c r="AG387" s="417"/>
      <c r="AH387" s="417"/>
    </row>
    <row r="388" spans="22:34">
      <c r="V388" s="4" t="s">
        <v>303</v>
      </c>
      <c r="W388" s="4" t="s">
        <v>1162</v>
      </c>
      <c r="X388" s="2"/>
      <c r="Y388" s="435" t="s">
        <v>953</v>
      </c>
      <c r="Z388" s="436">
        <v>0.03</v>
      </c>
      <c r="AA388" s="483" t="s">
        <v>371</v>
      </c>
      <c r="AB388" s="438" t="s">
        <v>1163</v>
      </c>
      <c r="AC388" s="439" t="str">
        <f t="shared" ref="AC388:AC451" si="6">AA388&amp;AB388</f>
        <v>愛知県武豊町</v>
      </c>
      <c r="AD388" s="460">
        <v>10.210000000000001</v>
      </c>
      <c r="AE388" s="438">
        <v>10.17</v>
      </c>
      <c r="AF388" s="459">
        <v>10.14</v>
      </c>
      <c r="AG388" s="417"/>
      <c r="AH388" s="417"/>
    </row>
    <row r="389" spans="22:34">
      <c r="V389" s="4" t="s">
        <v>303</v>
      </c>
      <c r="W389" s="4" t="s">
        <v>1164</v>
      </c>
      <c r="X389" s="2"/>
      <c r="Y389" s="435" t="s">
        <v>953</v>
      </c>
      <c r="Z389" s="436">
        <v>0.03</v>
      </c>
      <c r="AA389" s="483" t="s">
        <v>371</v>
      </c>
      <c r="AB389" s="438" t="s">
        <v>1165</v>
      </c>
      <c r="AC389" s="439" t="str">
        <f t="shared" si="6"/>
        <v>愛知県幸田町</v>
      </c>
      <c r="AD389" s="460">
        <v>10.210000000000001</v>
      </c>
      <c r="AE389" s="438">
        <v>10.17</v>
      </c>
      <c r="AF389" s="459">
        <v>10.14</v>
      </c>
      <c r="AG389" s="417"/>
      <c r="AH389" s="417"/>
    </row>
    <row r="390" spans="22:34">
      <c r="V390" s="4" t="s">
        <v>303</v>
      </c>
      <c r="W390" s="4" t="s">
        <v>1166</v>
      </c>
      <c r="X390" s="2"/>
      <c r="Y390" s="435" t="s">
        <v>953</v>
      </c>
      <c r="Z390" s="436">
        <v>0.03</v>
      </c>
      <c r="AA390" s="483" t="s">
        <v>371</v>
      </c>
      <c r="AB390" s="438" t="s">
        <v>1167</v>
      </c>
      <c r="AC390" s="439" t="str">
        <f t="shared" si="6"/>
        <v>愛知県設楽町</v>
      </c>
      <c r="AD390" s="460">
        <v>10.210000000000001</v>
      </c>
      <c r="AE390" s="438">
        <v>10.17</v>
      </c>
      <c r="AF390" s="459">
        <v>10.14</v>
      </c>
      <c r="AG390" s="417"/>
      <c r="AH390" s="417"/>
    </row>
    <row r="391" spans="22:34">
      <c r="V391" s="4" t="s">
        <v>303</v>
      </c>
      <c r="W391" s="4" t="s">
        <v>1168</v>
      </c>
      <c r="X391" s="2"/>
      <c r="Y391" s="435" t="s">
        <v>953</v>
      </c>
      <c r="Z391" s="436">
        <v>0.03</v>
      </c>
      <c r="AA391" s="483" t="s">
        <v>371</v>
      </c>
      <c r="AB391" s="438" t="s">
        <v>1169</v>
      </c>
      <c r="AC391" s="439" t="str">
        <f t="shared" si="6"/>
        <v>愛知県東栄町</v>
      </c>
      <c r="AD391" s="460">
        <v>10.210000000000001</v>
      </c>
      <c r="AE391" s="438">
        <v>10.17</v>
      </c>
      <c r="AF391" s="459">
        <v>10.14</v>
      </c>
      <c r="AG391" s="417"/>
      <c r="AH391" s="417"/>
    </row>
    <row r="392" spans="22:34">
      <c r="V392" s="4" t="s">
        <v>303</v>
      </c>
      <c r="W392" s="4" t="s">
        <v>1170</v>
      </c>
      <c r="X392" s="2"/>
      <c r="Y392" s="435" t="s">
        <v>953</v>
      </c>
      <c r="Z392" s="436">
        <v>0.03</v>
      </c>
      <c r="AA392" s="483" t="s">
        <v>371</v>
      </c>
      <c r="AB392" s="438" t="s">
        <v>1171</v>
      </c>
      <c r="AC392" s="439" t="str">
        <f t="shared" si="6"/>
        <v>愛知県豊根村</v>
      </c>
      <c r="AD392" s="460">
        <v>10.210000000000001</v>
      </c>
      <c r="AE392" s="438">
        <v>10.17</v>
      </c>
      <c r="AF392" s="459">
        <v>10.14</v>
      </c>
      <c r="AG392" s="417"/>
      <c r="AH392" s="417"/>
    </row>
    <row r="393" spans="22:34">
      <c r="V393" s="4" t="s">
        <v>303</v>
      </c>
      <c r="W393" s="4" t="s">
        <v>1172</v>
      </c>
      <c r="X393" s="2"/>
      <c r="Y393" s="435" t="s">
        <v>953</v>
      </c>
      <c r="Z393" s="436">
        <v>0.03</v>
      </c>
      <c r="AA393" s="483" t="s">
        <v>375</v>
      </c>
      <c r="AB393" s="438" t="s">
        <v>1173</v>
      </c>
      <c r="AC393" s="439" t="str">
        <f t="shared" si="6"/>
        <v>三重県名張市</v>
      </c>
      <c r="AD393" s="460">
        <v>10.210000000000001</v>
      </c>
      <c r="AE393" s="438">
        <v>10.17</v>
      </c>
      <c r="AF393" s="459">
        <v>10.14</v>
      </c>
      <c r="AG393" s="417"/>
      <c r="AH393" s="417"/>
    </row>
    <row r="394" spans="22:34">
      <c r="V394" s="4" t="s">
        <v>303</v>
      </c>
      <c r="W394" s="4" t="s">
        <v>1174</v>
      </c>
      <c r="X394" s="2"/>
      <c r="Y394" s="435" t="s">
        <v>953</v>
      </c>
      <c r="Z394" s="436">
        <v>0.03</v>
      </c>
      <c r="AA394" s="483" t="s">
        <v>375</v>
      </c>
      <c r="AB394" s="438" t="s">
        <v>1175</v>
      </c>
      <c r="AC394" s="439" t="str">
        <f t="shared" si="6"/>
        <v>三重県いなべ市</v>
      </c>
      <c r="AD394" s="460">
        <v>10.210000000000001</v>
      </c>
      <c r="AE394" s="438">
        <v>10.17</v>
      </c>
      <c r="AF394" s="459">
        <v>10.14</v>
      </c>
      <c r="AG394" s="417"/>
      <c r="AH394" s="417"/>
    </row>
    <row r="395" spans="22:34">
      <c r="V395" s="4" t="s">
        <v>303</v>
      </c>
      <c r="W395" s="4" t="s">
        <v>1176</v>
      </c>
      <c r="X395" s="2"/>
      <c r="Y395" s="435" t="s">
        <v>953</v>
      </c>
      <c r="Z395" s="436">
        <v>0.03</v>
      </c>
      <c r="AA395" s="483" t="s">
        <v>375</v>
      </c>
      <c r="AB395" s="438" t="s">
        <v>1177</v>
      </c>
      <c r="AC395" s="439" t="str">
        <f t="shared" si="6"/>
        <v>三重県伊賀市</v>
      </c>
      <c r="AD395" s="460">
        <v>10.210000000000001</v>
      </c>
      <c r="AE395" s="438">
        <v>10.17</v>
      </c>
      <c r="AF395" s="459">
        <v>10.14</v>
      </c>
      <c r="AG395" s="417"/>
      <c r="AH395" s="417"/>
    </row>
    <row r="396" spans="22:34">
      <c r="V396" s="4" t="s">
        <v>303</v>
      </c>
      <c r="W396" s="4" t="s">
        <v>1178</v>
      </c>
      <c r="X396" s="2"/>
      <c r="Y396" s="435" t="s">
        <v>953</v>
      </c>
      <c r="Z396" s="436">
        <v>0.03</v>
      </c>
      <c r="AA396" s="483" t="s">
        <v>375</v>
      </c>
      <c r="AB396" s="438" t="s">
        <v>1179</v>
      </c>
      <c r="AC396" s="439" t="str">
        <f t="shared" si="6"/>
        <v>三重県木曽岬町</v>
      </c>
      <c r="AD396" s="460">
        <v>10.210000000000001</v>
      </c>
      <c r="AE396" s="438">
        <v>10.17</v>
      </c>
      <c r="AF396" s="459">
        <v>10.14</v>
      </c>
      <c r="AG396" s="417"/>
      <c r="AH396" s="417"/>
    </row>
    <row r="397" spans="22:34">
      <c r="V397" s="4" t="s">
        <v>303</v>
      </c>
      <c r="W397" s="4" t="s">
        <v>1180</v>
      </c>
      <c r="X397" s="2"/>
      <c r="Y397" s="435" t="s">
        <v>953</v>
      </c>
      <c r="Z397" s="436">
        <v>0.03</v>
      </c>
      <c r="AA397" s="483" t="s">
        <v>375</v>
      </c>
      <c r="AB397" s="438" t="s">
        <v>1181</v>
      </c>
      <c r="AC397" s="439" t="str">
        <f t="shared" si="6"/>
        <v>三重県東員町</v>
      </c>
      <c r="AD397" s="460">
        <v>10.210000000000001</v>
      </c>
      <c r="AE397" s="438">
        <v>10.17</v>
      </c>
      <c r="AF397" s="459">
        <v>10.14</v>
      </c>
      <c r="AG397" s="417"/>
      <c r="AH397" s="417"/>
    </row>
    <row r="398" spans="22:34">
      <c r="V398" s="4" t="s">
        <v>303</v>
      </c>
      <c r="W398" s="4" t="s">
        <v>1182</v>
      </c>
      <c r="X398" s="2"/>
      <c r="Y398" s="435" t="s">
        <v>953</v>
      </c>
      <c r="Z398" s="436">
        <v>0.03</v>
      </c>
      <c r="AA398" s="483" t="s">
        <v>375</v>
      </c>
      <c r="AB398" s="438" t="s">
        <v>1183</v>
      </c>
      <c r="AC398" s="439" t="str">
        <f t="shared" si="6"/>
        <v>三重県菰野町</v>
      </c>
      <c r="AD398" s="460">
        <v>10.210000000000001</v>
      </c>
      <c r="AE398" s="438">
        <v>10.17</v>
      </c>
      <c r="AF398" s="459">
        <v>10.14</v>
      </c>
      <c r="AG398" s="417"/>
      <c r="AH398" s="417"/>
    </row>
    <row r="399" spans="22:34">
      <c r="V399" s="4" t="s">
        <v>303</v>
      </c>
      <c r="W399" s="4" t="s">
        <v>1184</v>
      </c>
      <c r="X399" s="2"/>
      <c r="Y399" s="435" t="s">
        <v>953</v>
      </c>
      <c r="Z399" s="436">
        <v>0.03</v>
      </c>
      <c r="AA399" s="483" t="s">
        <v>375</v>
      </c>
      <c r="AB399" s="438" t="s">
        <v>1185</v>
      </c>
      <c r="AC399" s="439" t="str">
        <f t="shared" si="6"/>
        <v>三重県朝日町</v>
      </c>
      <c r="AD399" s="460">
        <v>10.210000000000001</v>
      </c>
      <c r="AE399" s="438">
        <v>10.17</v>
      </c>
      <c r="AF399" s="459">
        <v>10.14</v>
      </c>
      <c r="AG399" s="417"/>
      <c r="AH399" s="417"/>
    </row>
    <row r="400" spans="22:34">
      <c r="V400" s="4" t="s">
        <v>303</v>
      </c>
      <c r="W400" s="4" t="s">
        <v>1186</v>
      </c>
      <c r="X400" s="2"/>
      <c r="Y400" s="435" t="s">
        <v>953</v>
      </c>
      <c r="Z400" s="436">
        <v>0.03</v>
      </c>
      <c r="AA400" s="483" t="s">
        <v>375</v>
      </c>
      <c r="AB400" s="438" t="s">
        <v>1187</v>
      </c>
      <c r="AC400" s="439" t="str">
        <f t="shared" si="6"/>
        <v>三重県川越町</v>
      </c>
      <c r="AD400" s="460">
        <v>10.210000000000001</v>
      </c>
      <c r="AE400" s="438">
        <v>10.17</v>
      </c>
      <c r="AF400" s="459">
        <v>10.14</v>
      </c>
      <c r="AG400" s="417"/>
      <c r="AH400" s="417"/>
    </row>
    <row r="401" spans="22:34">
      <c r="V401" s="4" t="s">
        <v>303</v>
      </c>
      <c r="W401" s="4" t="s">
        <v>1188</v>
      </c>
      <c r="X401" s="2"/>
      <c r="Y401" s="435" t="s">
        <v>953</v>
      </c>
      <c r="Z401" s="436">
        <v>0.03</v>
      </c>
      <c r="AA401" s="483" t="s">
        <v>380</v>
      </c>
      <c r="AB401" s="438" t="s">
        <v>1189</v>
      </c>
      <c r="AC401" s="439" t="str">
        <f t="shared" si="6"/>
        <v>滋賀県長浜市</v>
      </c>
      <c r="AD401" s="460">
        <v>10.210000000000001</v>
      </c>
      <c r="AE401" s="438">
        <v>10.17</v>
      </c>
      <c r="AF401" s="459">
        <v>10.14</v>
      </c>
      <c r="AG401" s="417"/>
      <c r="AH401" s="417"/>
    </row>
    <row r="402" spans="22:34">
      <c r="V402" s="4" t="s">
        <v>303</v>
      </c>
      <c r="W402" s="4" t="s">
        <v>1190</v>
      </c>
      <c r="X402" s="2"/>
      <c r="Y402" s="435" t="s">
        <v>953</v>
      </c>
      <c r="Z402" s="436">
        <v>0.03</v>
      </c>
      <c r="AA402" s="483" t="s">
        <v>380</v>
      </c>
      <c r="AB402" s="438" t="s">
        <v>1191</v>
      </c>
      <c r="AC402" s="439" t="str">
        <f t="shared" si="6"/>
        <v>滋賀県近江八幡市</v>
      </c>
      <c r="AD402" s="460">
        <v>10.210000000000001</v>
      </c>
      <c r="AE402" s="438">
        <v>10.17</v>
      </c>
      <c r="AF402" s="459">
        <v>10.14</v>
      </c>
      <c r="AG402" s="417"/>
      <c r="AH402" s="417"/>
    </row>
    <row r="403" spans="22:34">
      <c r="V403" s="4" t="s">
        <v>303</v>
      </c>
      <c r="W403" s="4" t="s">
        <v>1192</v>
      </c>
      <c r="X403" s="2"/>
      <c r="Y403" s="435" t="s">
        <v>953</v>
      </c>
      <c r="Z403" s="436">
        <v>0.03</v>
      </c>
      <c r="AA403" s="483" t="s">
        <v>380</v>
      </c>
      <c r="AB403" s="438" t="s">
        <v>1193</v>
      </c>
      <c r="AC403" s="439" t="str">
        <f t="shared" si="6"/>
        <v>滋賀県野洲市</v>
      </c>
      <c r="AD403" s="460">
        <v>10.210000000000001</v>
      </c>
      <c r="AE403" s="438">
        <v>10.17</v>
      </c>
      <c r="AF403" s="459">
        <v>10.14</v>
      </c>
      <c r="AG403" s="417"/>
      <c r="AH403" s="417"/>
    </row>
    <row r="404" spans="22:34">
      <c r="V404" s="4" t="s">
        <v>303</v>
      </c>
      <c r="W404" s="4" t="s">
        <v>1194</v>
      </c>
      <c r="X404" s="2"/>
      <c r="Y404" s="435" t="s">
        <v>953</v>
      </c>
      <c r="Z404" s="436">
        <v>0.03</v>
      </c>
      <c r="AA404" s="483" t="s">
        <v>380</v>
      </c>
      <c r="AB404" s="438" t="s">
        <v>1195</v>
      </c>
      <c r="AC404" s="439" t="str">
        <f t="shared" si="6"/>
        <v>滋賀県湖南市</v>
      </c>
      <c r="AD404" s="460">
        <v>10.210000000000001</v>
      </c>
      <c r="AE404" s="438">
        <v>10.17</v>
      </c>
      <c r="AF404" s="459">
        <v>10.14</v>
      </c>
      <c r="AG404" s="417"/>
      <c r="AH404" s="417"/>
    </row>
    <row r="405" spans="22:34">
      <c r="V405" s="4" t="s">
        <v>303</v>
      </c>
      <c r="W405" s="4" t="s">
        <v>1196</v>
      </c>
      <c r="X405" s="2"/>
      <c r="Y405" s="435" t="s">
        <v>953</v>
      </c>
      <c r="Z405" s="436">
        <v>0.03</v>
      </c>
      <c r="AA405" s="483" t="s">
        <v>380</v>
      </c>
      <c r="AB405" s="438" t="s">
        <v>1197</v>
      </c>
      <c r="AC405" s="439" t="str">
        <f t="shared" si="6"/>
        <v>滋賀県高島市</v>
      </c>
      <c r="AD405" s="460">
        <v>10.210000000000001</v>
      </c>
      <c r="AE405" s="438">
        <v>10.17</v>
      </c>
      <c r="AF405" s="459">
        <v>10.14</v>
      </c>
      <c r="AG405" s="417"/>
      <c r="AH405" s="417"/>
    </row>
    <row r="406" spans="22:34">
      <c r="V406" s="4" t="s">
        <v>303</v>
      </c>
      <c r="W406" s="4" t="s">
        <v>1198</v>
      </c>
      <c r="X406" s="2"/>
      <c r="Y406" s="435" t="s">
        <v>953</v>
      </c>
      <c r="Z406" s="436">
        <v>0.03</v>
      </c>
      <c r="AA406" s="483" t="s">
        <v>380</v>
      </c>
      <c r="AB406" s="438" t="s">
        <v>1199</v>
      </c>
      <c r="AC406" s="439" t="str">
        <f t="shared" si="6"/>
        <v>滋賀県東近江市</v>
      </c>
      <c r="AD406" s="460">
        <v>10.210000000000001</v>
      </c>
      <c r="AE406" s="438">
        <v>10.17</v>
      </c>
      <c r="AF406" s="459">
        <v>10.14</v>
      </c>
      <c r="AG406" s="417"/>
      <c r="AH406" s="417"/>
    </row>
    <row r="407" spans="22:34">
      <c r="V407" s="4" t="s">
        <v>303</v>
      </c>
      <c r="W407" s="4" t="s">
        <v>1200</v>
      </c>
      <c r="X407" s="2"/>
      <c r="Y407" s="435" t="s">
        <v>953</v>
      </c>
      <c r="Z407" s="436">
        <v>0.03</v>
      </c>
      <c r="AA407" s="483" t="s">
        <v>380</v>
      </c>
      <c r="AB407" s="438" t="s">
        <v>1201</v>
      </c>
      <c r="AC407" s="439" t="str">
        <f t="shared" si="6"/>
        <v>滋賀県日野町</v>
      </c>
      <c r="AD407" s="460">
        <v>10.210000000000001</v>
      </c>
      <c r="AE407" s="438">
        <v>10.17</v>
      </c>
      <c r="AF407" s="459">
        <v>10.14</v>
      </c>
      <c r="AG407" s="417"/>
      <c r="AH407" s="417"/>
    </row>
    <row r="408" spans="22:34">
      <c r="V408" s="4" t="s">
        <v>303</v>
      </c>
      <c r="W408" s="4" t="s">
        <v>1202</v>
      </c>
      <c r="X408" s="2"/>
      <c r="Y408" s="435" t="s">
        <v>953</v>
      </c>
      <c r="Z408" s="436">
        <v>0.03</v>
      </c>
      <c r="AA408" s="483" t="s">
        <v>380</v>
      </c>
      <c r="AB408" s="438" t="s">
        <v>1203</v>
      </c>
      <c r="AC408" s="439" t="str">
        <f t="shared" si="6"/>
        <v>滋賀県竜王町</v>
      </c>
      <c r="AD408" s="460">
        <v>10.210000000000001</v>
      </c>
      <c r="AE408" s="438">
        <v>10.17</v>
      </c>
      <c r="AF408" s="459">
        <v>10.14</v>
      </c>
      <c r="AG408" s="417"/>
      <c r="AH408" s="417"/>
    </row>
    <row r="409" spans="22:34">
      <c r="V409" s="4" t="s">
        <v>303</v>
      </c>
      <c r="W409" s="4" t="s">
        <v>1204</v>
      </c>
      <c r="X409" s="2"/>
      <c r="Y409" s="435" t="s">
        <v>953</v>
      </c>
      <c r="Z409" s="436">
        <v>0.03</v>
      </c>
      <c r="AA409" s="483" t="s">
        <v>384</v>
      </c>
      <c r="AB409" s="438" t="s">
        <v>1205</v>
      </c>
      <c r="AC409" s="439" t="str">
        <f t="shared" si="6"/>
        <v>京都府久御山町</v>
      </c>
      <c r="AD409" s="460">
        <v>10.210000000000001</v>
      </c>
      <c r="AE409" s="438">
        <v>10.17</v>
      </c>
      <c r="AF409" s="459">
        <v>10.14</v>
      </c>
      <c r="AG409" s="417"/>
      <c r="AH409" s="417"/>
    </row>
    <row r="410" spans="22:34">
      <c r="V410" s="4" t="s">
        <v>303</v>
      </c>
      <c r="W410" s="4" t="s">
        <v>1206</v>
      </c>
      <c r="X410" s="2"/>
      <c r="Y410" s="435" t="s">
        <v>953</v>
      </c>
      <c r="Z410" s="436">
        <v>0.03</v>
      </c>
      <c r="AA410" s="483" t="s">
        <v>392</v>
      </c>
      <c r="AB410" s="438" t="s">
        <v>1207</v>
      </c>
      <c r="AC410" s="439" t="str">
        <f t="shared" si="6"/>
        <v>兵庫県姫路市</v>
      </c>
      <c r="AD410" s="460">
        <v>10.210000000000001</v>
      </c>
      <c r="AE410" s="438">
        <v>10.17</v>
      </c>
      <c r="AF410" s="459">
        <v>10.14</v>
      </c>
      <c r="AG410" s="417"/>
      <c r="AH410" s="417"/>
    </row>
    <row r="411" spans="22:34">
      <c r="V411" s="4" t="s">
        <v>303</v>
      </c>
      <c r="W411" s="4" t="s">
        <v>1208</v>
      </c>
      <c r="X411" s="2"/>
      <c r="Y411" s="435" t="s">
        <v>953</v>
      </c>
      <c r="Z411" s="436">
        <v>0.03</v>
      </c>
      <c r="AA411" s="483" t="s">
        <v>392</v>
      </c>
      <c r="AB411" s="438" t="s">
        <v>1209</v>
      </c>
      <c r="AC411" s="439" t="str">
        <f t="shared" si="6"/>
        <v>兵庫県加古川市</v>
      </c>
      <c r="AD411" s="460">
        <v>10.210000000000001</v>
      </c>
      <c r="AE411" s="438">
        <v>10.17</v>
      </c>
      <c r="AF411" s="459">
        <v>10.14</v>
      </c>
      <c r="AG411" s="417"/>
      <c r="AH411" s="417"/>
    </row>
    <row r="412" spans="22:34">
      <c r="V412" s="4" t="s">
        <v>303</v>
      </c>
      <c r="W412" s="4" t="s">
        <v>1210</v>
      </c>
      <c r="X412" s="2"/>
      <c r="Y412" s="435" t="s">
        <v>953</v>
      </c>
      <c r="Z412" s="436">
        <v>0.03</v>
      </c>
      <c r="AA412" s="483" t="s">
        <v>392</v>
      </c>
      <c r="AB412" s="438" t="s">
        <v>1211</v>
      </c>
      <c r="AC412" s="439" t="str">
        <f t="shared" si="6"/>
        <v>兵庫県三木市</v>
      </c>
      <c r="AD412" s="460">
        <v>10.210000000000001</v>
      </c>
      <c r="AE412" s="438">
        <v>10.17</v>
      </c>
      <c r="AF412" s="459">
        <v>10.14</v>
      </c>
      <c r="AG412" s="417"/>
      <c r="AH412" s="417"/>
    </row>
    <row r="413" spans="22:34">
      <c r="V413" s="4" t="s">
        <v>303</v>
      </c>
      <c r="W413" s="4" t="s">
        <v>1212</v>
      </c>
      <c r="X413" s="2"/>
      <c r="Y413" s="435" t="s">
        <v>953</v>
      </c>
      <c r="Z413" s="436">
        <v>0.03</v>
      </c>
      <c r="AA413" s="483" t="s">
        <v>392</v>
      </c>
      <c r="AB413" s="438" t="s">
        <v>1213</v>
      </c>
      <c r="AC413" s="439" t="str">
        <f t="shared" si="6"/>
        <v>兵庫県高砂市</v>
      </c>
      <c r="AD413" s="460">
        <v>10.210000000000001</v>
      </c>
      <c r="AE413" s="438">
        <v>10.17</v>
      </c>
      <c r="AF413" s="459">
        <v>10.14</v>
      </c>
      <c r="AG413" s="417"/>
      <c r="AH413" s="417"/>
    </row>
    <row r="414" spans="22:34">
      <c r="V414" s="4" t="s">
        <v>303</v>
      </c>
      <c r="W414" s="4" t="s">
        <v>1214</v>
      </c>
      <c r="X414" s="2"/>
      <c r="Y414" s="435" t="s">
        <v>953</v>
      </c>
      <c r="Z414" s="436">
        <v>0.03</v>
      </c>
      <c r="AA414" s="483" t="s">
        <v>392</v>
      </c>
      <c r="AB414" s="438" t="s">
        <v>1215</v>
      </c>
      <c r="AC414" s="439" t="str">
        <f t="shared" si="6"/>
        <v>兵庫県稲美町</v>
      </c>
      <c r="AD414" s="460">
        <v>10.210000000000001</v>
      </c>
      <c r="AE414" s="438">
        <v>10.17</v>
      </c>
      <c r="AF414" s="459">
        <v>10.14</v>
      </c>
      <c r="AG414" s="417"/>
      <c r="AH414" s="417"/>
    </row>
    <row r="415" spans="22:34">
      <c r="V415" s="4" t="s">
        <v>308</v>
      </c>
      <c r="W415" s="4" t="s">
        <v>559</v>
      </c>
      <c r="X415" s="2"/>
      <c r="Y415" s="435" t="s">
        <v>953</v>
      </c>
      <c r="Z415" s="436">
        <v>0.03</v>
      </c>
      <c r="AA415" s="483" t="s">
        <v>392</v>
      </c>
      <c r="AB415" s="438" t="s">
        <v>1216</v>
      </c>
      <c r="AC415" s="439" t="str">
        <f t="shared" si="6"/>
        <v>兵庫県播磨町</v>
      </c>
      <c r="AD415" s="460">
        <v>10.210000000000001</v>
      </c>
      <c r="AE415" s="438">
        <v>10.17</v>
      </c>
      <c r="AF415" s="459">
        <v>10.14</v>
      </c>
      <c r="AG415" s="417"/>
      <c r="AH415" s="417"/>
    </row>
    <row r="416" spans="22:34">
      <c r="V416" s="4" t="s">
        <v>308</v>
      </c>
      <c r="W416" s="4" t="s">
        <v>561</v>
      </c>
      <c r="X416" s="2"/>
      <c r="Y416" s="435" t="s">
        <v>953</v>
      </c>
      <c r="Z416" s="436">
        <v>0.03</v>
      </c>
      <c r="AA416" s="483" t="s">
        <v>397</v>
      </c>
      <c r="AB416" s="438" t="s">
        <v>1217</v>
      </c>
      <c r="AC416" s="439" t="str">
        <f t="shared" si="6"/>
        <v>奈良県大和高田市</v>
      </c>
      <c r="AD416" s="460">
        <v>10.210000000000001</v>
      </c>
      <c r="AE416" s="438">
        <v>10.17</v>
      </c>
      <c r="AF416" s="459">
        <v>10.14</v>
      </c>
      <c r="AG416" s="417"/>
      <c r="AH416" s="417"/>
    </row>
    <row r="417" spans="22:34">
      <c r="V417" s="4" t="s">
        <v>308</v>
      </c>
      <c r="W417" s="4" t="s">
        <v>684</v>
      </c>
      <c r="X417" s="2"/>
      <c r="Y417" s="435" t="s">
        <v>953</v>
      </c>
      <c r="Z417" s="436">
        <v>0.03</v>
      </c>
      <c r="AA417" s="483" t="s">
        <v>397</v>
      </c>
      <c r="AB417" s="438" t="s">
        <v>1218</v>
      </c>
      <c r="AC417" s="439" t="str">
        <f t="shared" si="6"/>
        <v>奈良県天理市</v>
      </c>
      <c r="AD417" s="460">
        <v>10.210000000000001</v>
      </c>
      <c r="AE417" s="438">
        <v>10.17</v>
      </c>
      <c r="AF417" s="459">
        <v>10.14</v>
      </c>
      <c r="AG417" s="417"/>
      <c r="AH417" s="417"/>
    </row>
    <row r="418" spans="22:34">
      <c r="V418" s="4" t="s">
        <v>308</v>
      </c>
      <c r="W418" s="4" t="s">
        <v>686</v>
      </c>
      <c r="X418" s="2"/>
      <c r="Y418" s="435" t="s">
        <v>953</v>
      </c>
      <c r="Z418" s="436">
        <v>0.03</v>
      </c>
      <c r="AA418" s="483" t="s">
        <v>397</v>
      </c>
      <c r="AB418" s="438" t="s">
        <v>1219</v>
      </c>
      <c r="AC418" s="439" t="str">
        <f t="shared" si="6"/>
        <v>奈良県橿原市</v>
      </c>
      <c r="AD418" s="460">
        <v>10.210000000000001</v>
      </c>
      <c r="AE418" s="438">
        <v>10.17</v>
      </c>
      <c r="AF418" s="459">
        <v>10.14</v>
      </c>
      <c r="AG418" s="417"/>
      <c r="AH418" s="417"/>
    </row>
    <row r="419" spans="22:34">
      <c r="V419" s="4" t="s">
        <v>308</v>
      </c>
      <c r="W419" s="4" t="s">
        <v>1220</v>
      </c>
      <c r="X419" s="2"/>
      <c r="Y419" s="435" t="s">
        <v>953</v>
      </c>
      <c r="Z419" s="436">
        <v>0.03</v>
      </c>
      <c r="AA419" s="483" t="s">
        <v>397</v>
      </c>
      <c r="AB419" s="438" t="s">
        <v>1221</v>
      </c>
      <c r="AC419" s="439" t="str">
        <f t="shared" si="6"/>
        <v>奈良県桜井市</v>
      </c>
      <c r="AD419" s="460">
        <v>10.210000000000001</v>
      </c>
      <c r="AE419" s="438">
        <v>10.17</v>
      </c>
      <c r="AF419" s="459">
        <v>10.14</v>
      </c>
      <c r="AG419" s="417"/>
      <c r="AH419" s="417"/>
    </row>
    <row r="420" spans="22:34">
      <c r="V420" s="4" t="s">
        <v>308</v>
      </c>
      <c r="W420" s="4" t="s">
        <v>955</v>
      </c>
      <c r="X420" s="2"/>
      <c r="Y420" s="435" t="s">
        <v>953</v>
      </c>
      <c r="Z420" s="436">
        <v>0.03</v>
      </c>
      <c r="AA420" s="483" t="s">
        <v>397</v>
      </c>
      <c r="AB420" s="438" t="s">
        <v>1222</v>
      </c>
      <c r="AC420" s="439" t="str">
        <f t="shared" si="6"/>
        <v>奈良県御所市</v>
      </c>
      <c r="AD420" s="460">
        <v>10.210000000000001</v>
      </c>
      <c r="AE420" s="438">
        <v>10.17</v>
      </c>
      <c r="AF420" s="459">
        <v>10.14</v>
      </c>
      <c r="AG420" s="417"/>
      <c r="AH420" s="417"/>
    </row>
    <row r="421" spans="22:34">
      <c r="V421" s="4" t="s">
        <v>308</v>
      </c>
      <c r="W421" s="4" t="s">
        <v>563</v>
      </c>
      <c r="X421" s="2"/>
      <c r="Y421" s="435" t="s">
        <v>953</v>
      </c>
      <c r="Z421" s="436">
        <v>0.03</v>
      </c>
      <c r="AA421" s="483" t="s">
        <v>397</v>
      </c>
      <c r="AB421" s="438" t="s">
        <v>1223</v>
      </c>
      <c r="AC421" s="439" t="str">
        <f t="shared" si="6"/>
        <v>奈良県香芝市</v>
      </c>
      <c r="AD421" s="460">
        <v>10.210000000000001</v>
      </c>
      <c r="AE421" s="438">
        <v>10.17</v>
      </c>
      <c r="AF421" s="459">
        <v>10.14</v>
      </c>
      <c r="AG421" s="417"/>
      <c r="AH421" s="417"/>
    </row>
    <row r="422" spans="22:34">
      <c r="V422" s="4" t="s">
        <v>308</v>
      </c>
      <c r="W422" s="4" t="s">
        <v>957</v>
      </c>
      <c r="X422" s="2"/>
      <c r="Y422" s="435" t="s">
        <v>953</v>
      </c>
      <c r="Z422" s="436">
        <v>0.03</v>
      </c>
      <c r="AA422" s="483" t="s">
        <v>397</v>
      </c>
      <c r="AB422" s="438" t="s">
        <v>1224</v>
      </c>
      <c r="AC422" s="439" t="str">
        <f t="shared" si="6"/>
        <v>奈良県葛城市</v>
      </c>
      <c r="AD422" s="460">
        <v>10.210000000000001</v>
      </c>
      <c r="AE422" s="438">
        <v>10.17</v>
      </c>
      <c r="AF422" s="459">
        <v>10.14</v>
      </c>
      <c r="AG422" s="417"/>
      <c r="AH422" s="417"/>
    </row>
    <row r="423" spans="22:34">
      <c r="V423" s="4" t="s">
        <v>308</v>
      </c>
      <c r="W423" s="4" t="s">
        <v>959</v>
      </c>
      <c r="X423" s="2"/>
      <c r="Y423" s="435" t="s">
        <v>953</v>
      </c>
      <c r="Z423" s="436">
        <v>0.03</v>
      </c>
      <c r="AA423" s="483" t="s">
        <v>397</v>
      </c>
      <c r="AB423" s="438" t="s">
        <v>1225</v>
      </c>
      <c r="AC423" s="439" t="str">
        <f t="shared" si="6"/>
        <v>奈良県宇陀市</v>
      </c>
      <c r="AD423" s="460">
        <v>10.210000000000001</v>
      </c>
      <c r="AE423" s="438">
        <v>10.17</v>
      </c>
      <c r="AF423" s="459">
        <v>10.14</v>
      </c>
      <c r="AG423" s="417"/>
      <c r="AH423" s="417"/>
    </row>
    <row r="424" spans="22:34">
      <c r="V424" s="4" t="s">
        <v>308</v>
      </c>
      <c r="W424" s="4" t="s">
        <v>1226</v>
      </c>
      <c r="X424" s="2"/>
      <c r="Y424" s="435" t="s">
        <v>953</v>
      </c>
      <c r="Z424" s="436">
        <v>0.03</v>
      </c>
      <c r="AA424" s="483" t="s">
        <v>397</v>
      </c>
      <c r="AB424" s="438" t="s">
        <v>1227</v>
      </c>
      <c r="AC424" s="439" t="str">
        <f t="shared" si="6"/>
        <v>奈良県山添村</v>
      </c>
      <c r="AD424" s="460">
        <v>10.210000000000001</v>
      </c>
      <c r="AE424" s="438">
        <v>10.17</v>
      </c>
      <c r="AF424" s="459">
        <v>10.14</v>
      </c>
      <c r="AG424" s="417"/>
      <c r="AH424" s="417"/>
    </row>
    <row r="425" spans="22:34">
      <c r="V425" s="4" t="s">
        <v>308</v>
      </c>
      <c r="W425" s="4" t="s">
        <v>1228</v>
      </c>
      <c r="X425" s="2"/>
      <c r="Y425" s="435" t="s">
        <v>953</v>
      </c>
      <c r="Z425" s="436">
        <v>0.03</v>
      </c>
      <c r="AA425" s="483" t="s">
        <v>397</v>
      </c>
      <c r="AB425" s="438" t="s">
        <v>1229</v>
      </c>
      <c r="AC425" s="439" t="str">
        <f t="shared" si="6"/>
        <v>奈良県平群町</v>
      </c>
      <c r="AD425" s="460">
        <v>10.210000000000001</v>
      </c>
      <c r="AE425" s="438">
        <v>10.17</v>
      </c>
      <c r="AF425" s="459">
        <v>10.14</v>
      </c>
      <c r="AG425" s="417"/>
      <c r="AH425" s="417"/>
    </row>
    <row r="426" spans="22:34">
      <c r="V426" s="4" t="s">
        <v>308</v>
      </c>
      <c r="W426" s="4" t="s">
        <v>1230</v>
      </c>
      <c r="X426" s="2"/>
      <c r="Y426" s="435" t="s">
        <v>953</v>
      </c>
      <c r="Z426" s="436">
        <v>0.03</v>
      </c>
      <c r="AA426" s="483" t="s">
        <v>397</v>
      </c>
      <c r="AB426" s="438" t="s">
        <v>1231</v>
      </c>
      <c r="AC426" s="439" t="str">
        <f t="shared" si="6"/>
        <v>奈良県三郷町</v>
      </c>
      <c r="AD426" s="460">
        <v>10.210000000000001</v>
      </c>
      <c r="AE426" s="438">
        <v>10.17</v>
      </c>
      <c r="AF426" s="459">
        <v>10.14</v>
      </c>
      <c r="AG426" s="417"/>
      <c r="AH426" s="417"/>
    </row>
    <row r="427" spans="22:34">
      <c r="V427" s="4" t="s">
        <v>308</v>
      </c>
      <c r="W427" s="4" t="s">
        <v>961</v>
      </c>
      <c r="X427" s="2"/>
      <c r="Y427" s="435" t="s">
        <v>953</v>
      </c>
      <c r="Z427" s="436">
        <v>0.03</v>
      </c>
      <c r="AA427" s="483" t="s">
        <v>397</v>
      </c>
      <c r="AB427" s="438" t="s">
        <v>1232</v>
      </c>
      <c r="AC427" s="439" t="str">
        <f t="shared" si="6"/>
        <v>奈良県斑鳩町</v>
      </c>
      <c r="AD427" s="460">
        <v>10.210000000000001</v>
      </c>
      <c r="AE427" s="438">
        <v>10.17</v>
      </c>
      <c r="AF427" s="459">
        <v>10.14</v>
      </c>
      <c r="AG427" s="417"/>
      <c r="AH427" s="417"/>
    </row>
    <row r="428" spans="22:34">
      <c r="V428" s="4" t="s">
        <v>308</v>
      </c>
      <c r="W428" s="4" t="s">
        <v>565</v>
      </c>
      <c r="X428" s="2"/>
      <c r="Y428" s="435" t="s">
        <v>953</v>
      </c>
      <c r="Z428" s="436">
        <v>0.03</v>
      </c>
      <c r="AA428" s="483" t="s">
        <v>397</v>
      </c>
      <c r="AB428" s="438" t="s">
        <v>1233</v>
      </c>
      <c r="AC428" s="439" t="str">
        <f t="shared" si="6"/>
        <v>奈良県安堵町</v>
      </c>
      <c r="AD428" s="460">
        <v>10.210000000000001</v>
      </c>
      <c r="AE428" s="438">
        <v>10.17</v>
      </c>
      <c r="AF428" s="459">
        <v>10.14</v>
      </c>
      <c r="AG428" s="417"/>
      <c r="AH428" s="417"/>
    </row>
    <row r="429" spans="22:34">
      <c r="V429" s="4" t="s">
        <v>308</v>
      </c>
      <c r="W429" s="4" t="s">
        <v>510</v>
      </c>
      <c r="X429" s="2"/>
      <c r="Y429" s="435" t="s">
        <v>953</v>
      </c>
      <c r="Z429" s="436">
        <v>0.03</v>
      </c>
      <c r="AA429" s="483" t="s">
        <v>397</v>
      </c>
      <c r="AB429" s="438" t="s">
        <v>1234</v>
      </c>
      <c r="AC429" s="439" t="str">
        <f t="shared" si="6"/>
        <v>奈良県川西町</v>
      </c>
      <c r="AD429" s="460">
        <v>10.210000000000001</v>
      </c>
      <c r="AE429" s="438">
        <v>10.17</v>
      </c>
      <c r="AF429" s="459">
        <v>10.14</v>
      </c>
      <c r="AG429" s="417"/>
      <c r="AH429" s="417"/>
    </row>
    <row r="430" spans="22:34">
      <c r="V430" s="4" t="s">
        <v>308</v>
      </c>
      <c r="W430" s="4" t="s">
        <v>567</v>
      </c>
      <c r="X430" s="2"/>
      <c r="Y430" s="435" t="s">
        <v>953</v>
      </c>
      <c r="Z430" s="436">
        <v>0.03</v>
      </c>
      <c r="AA430" s="483" t="s">
        <v>397</v>
      </c>
      <c r="AB430" s="438" t="s">
        <v>1235</v>
      </c>
      <c r="AC430" s="439" t="str">
        <f t="shared" si="6"/>
        <v>奈良県三宅町</v>
      </c>
      <c r="AD430" s="460">
        <v>10.210000000000001</v>
      </c>
      <c r="AE430" s="438">
        <v>10.17</v>
      </c>
      <c r="AF430" s="459">
        <v>10.14</v>
      </c>
      <c r="AG430" s="417"/>
      <c r="AH430" s="417"/>
    </row>
    <row r="431" spans="22:34">
      <c r="V431" s="4" t="s">
        <v>308</v>
      </c>
      <c r="W431" s="4" t="s">
        <v>963</v>
      </c>
      <c r="X431" s="2"/>
      <c r="Y431" s="435" t="s">
        <v>953</v>
      </c>
      <c r="Z431" s="436">
        <v>0.03</v>
      </c>
      <c r="AA431" s="483" t="s">
        <v>397</v>
      </c>
      <c r="AB431" s="438" t="s">
        <v>1236</v>
      </c>
      <c r="AC431" s="439" t="str">
        <f t="shared" si="6"/>
        <v>奈良県田原本町</v>
      </c>
      <c r="AD431" s="460">
        <v>10.210000000000001</v>
      </c>
      <c r="AE431" s="438">
        <v>10.17</v>
      </c>
      <c r="AF431" s="459">
        <v>10.14</v>
      </c>
      <c r="AG431" s="417"/>
      <c r="AH431" s="417"/>
    </row>
    <row r="432" spans="22:34">
      <c r="V432" s="4" t="s">
        <v>308</v>
      </c>
      <c r="W432" s="4" t="s">
        <v>1237</v>
      </c>
      <c r="X432" s="2"/>
      <c r="Y432" s="435" t="s">
        <v>953</v>
      </c>
      <c r="Z432" s="436">
        <v>0.03</v>
      </c>
      <c r="AA432" s="483" t="s">
        <v>397</v>
      </c>
      <c r="AB432" s="438" t="s">
        <v>1238</v>
      </c>
      <c r="AC432" s="439" t="str">
        <f t="shared" si="6"/>
        <v>奈良県曽爾村</v>
      </c>
      <c r="AD432" s="460">
        <v>10.210000000000001</v>
      </c>
      <c r="AE432" s="438">
        <v>10.17</v>
      </c>
      <c r="AF432" s="459">
        <v>10.14</v>
      </c>
      <c r="AG432" s="417"/>
      <c r="AH432" s="417"/>
    </row>
    <row r="433" spans="22:34">
      <c r="V433" s="4" t="s">
        <v>308</v>
      </c>
      <c r="W433" s="4" t="s">
        <v>1239</v>
      </c>
      <c r="X433" s="2"/>
      <c r="Y433" s="435" t="s">
        <v>953</v>
      </c>
      <c r="Z433" s="436">
        <v>0.03</v>
      </c>
      <c r="AA433" s="483" t="s">
        <v>397</v>
      </c>
      <c r="AB433" s="438" t="s">
        <v>1240</v>
      </c>
      <c r="AC433" s="439" t="str">
        <f t="shared" si="6"/>
        <v>奈良県明日香村</v>
      </c>
      <c r="AD433" s="460">
        <v>10.210000000000001</v>
      </c>
      <c r="AE433" s="438">
        <v>10.17</v>
      </c>
      <c r="AF433" s="459">
        <v>10.14</v>
      </c>
      <c r="AG433" s="417"/>
      <c r="AH433" s="417"/>
    </row>
    <row r="434" spans="22:34">
      <c r="V434" s="4" t="s">
        <v>308</v>
      </c>
      <c r="W434" s="4" t="s">
        <v>569</v>
      </c>
      <c r="X434" s="2"/>
      <c r="Y434" s="435" t="s">
        <v>953</v>
      </c>
      <c r="Z434" s="436">
        <v>0.03</v>
      </c>
      <c r="AA434" s="483" t="s">
        <v>397</v>
      </c>
      <c r="AB434" s="438" t="s">
        <v>1241</v>
      </c>
      <c r="AC434" s="439" t="str">
        <f t="shared" si="6"/>
        <v>奈良県上牧町</v>
      </c>
      <c r="AD434" s="460">
        <v>10.210000000000001</v>
      </c>
      <c r="AE434" s="438">
        <v>10.17</v>
      </c>
      <c r="AF434" s="459">
        <v>10.14</v>
      </c>
      <c r="AG434" s="417"/>
      <c r="AH434" s="417"/>
    </row>
    <row r="435" spans="22:34">
      <c r="V435" s="4" t="s">
        <v>308</v>
      </c>
      <c r="W435" s="4" t="s">
        <v>1242</v>
      </c>
      <c r="X435" s="2"/>
      <c r="Y435" s="435" t="s">
        <v>953</v>
      </c>
      <c r="Z435" s="436">
        <v>0.03</v>
      </c>
      <c r="AA435" s="483" t="s">
        <v>397</v>
      </c>
      <c r="AB435" s="438" t="s">
        <v>1243</v>
      </c>
      <c r="AC435" s="439" t="str">
        <f t="shared" si="6"/>
        <v>奈良県王寺町</v>
      </c>
      <c r="AD435" s="460">
        <v>10.210000000000001</v>
      </c>
      <c r="AE435" s="438">
        <v>10.17</v>
      </c>
      <c r="AF435" s="459">
        <v>10.14</v>
      </c>
      <c r="AG435" s="417"/>
      <c r="AH435" s="417"/>
    </row>
    <row r="436" spans="22:34">
      <c r="V436" s="4" t="s">
        <v>308</v>
      </c>
      <c r="W436" s="4" t="s">
        <v>965</v>
      </c>
      <c r="X436" s="2"/>
      <c r="Y436" s="435" t="s">
        <v>953</v>
      </c>
      <c r="Z436" s="436">
        <v>0.03</v>
      </c>
      <c r="AA436" s="483" t="s">
        <v>397</v>
      </c>
      <c r="AB436" s="438" t="s">
        <v>1244</v>
      </c>
      <c r="AC436" s="439" t="str">
        <f t="shared" si="6"/>
        <v>奈良県広陵町</v>
      </c>
      <c r="AD436" s="460">
        <v>10.210000000000001</v>
      </c>
      <c r="AE436" s="438">
        <v>10.17</v>
      </c>
      <c r="AF436" s="459">
        <v>10.14</v>
      </c>
      <c r="AG436" s="417"/>
      <c r="AH436" s="417"/>
    </row>
    <row r="437" spans="22:34">
      <c r="V437" s="4" t="s">
        <v>308</v>
      </c>
      <c r="W437" s="4" t="s">
        <v>967</v>
      </c>
      <c r="X437" s="2"/>
      <c r="Y437" s="435" t="s">
        <v>953</v>
      </c>
      <c r="Z437" s="436">
        <v>0.03</v>
      </c>
      <c r="AA437" s="483" t="s">
        <v>397</v>
      </c>
      <c r="AB437" s="438" t="s">
        <v>1245</v>
      </c>
      <c r="AC437" s="439" t="str">
        <f t="shared" si="6"/>
        <v>奈良県河合町</v>
      </c>
      <c r="AD437" s="460">
        <v>10.210000000000001</v>
      </c>
      <c r="AE437" s="438">
        <v>10.17</v>
      </c>
      <c r="AF437" s="459">
        <v>10.14</v>
      </c>
      <c r="AG437" s="417"/>
      <c r="AH437" s="417"/>
    </row>
    <row r="438" spans="22:34">
      <c r="V438" s="4" t="s">
        <v>308</v>
      </c>
      <c r="W438" s="4" t="s">
        <v>969</v>
      </c>
      <c r="X438" s="2"/>
      <c r="Y438" s="435" t="s">
        <v>953</v>
      </c>
      <c r="Z438" s="436">
        <v>0.03</v>
      </c>
      <c r="AA438" s="483" t="s">
        <v>417</v>
      </c>
      <c r="AB438" s="438" t="s">
        <v>1246</v>
      </c>
      <c r="AC438" s="439" t="str">
        <f t="shared" si="6"/>
        <v>岡山県岡山市</v>
      </c>
      <c r="AD438" s="460">
        <v>10.210000000000001</v>
      </c>
      <c r="AE438" s="438">
        <v>10.17</v>
      </c>
      <c r="AF438" s="459">
        <v>10.14</v>
      </c>
      <c r="AG438" s="417"/>
      <c r="AH438" s="417"/>
    </row>
    <row r="439" spans="22:34">
      <c r="V439" s="4" t="s">
        <v>308</v>
      </c>
      <c r="W439" s="4" t="s">
        <v>971</v>
      </c>
      <c r="X439" s="2"/>
      <c r="Y439" s="435" t="s">
        <v>953</v>
      </c>
      <c r="Z439" s="436">
        <v>0.03</v>
      </c>
      <c r="AA439" s="483" t="s">
        <v>421</v>
      </c>
      <c r="AB439" s="438" t="s">
        <v>1247</v>
      </c>
      <c r="AC439" s="439" t="str">
        <f t="shared" si="6"/>
        <v>広島県東広島市</v>
      </c>
      <c r="AD439" s="460">
        <v>10.210000000000001</v>
      </c>
      <c r="AE439" s="438">
        <v>10.17</v>
      </c>
      <c r="AF439" s="459">
        <v>10.14</v>
      </c>
      <c r="AG439" s="417"/>
      <c r="AH439" s="417"/>
    </row>
    <row r="440" spans="22:34">
      <c r="V440" s="4" t="s">
        <v>308</v>
      </c>
      <c r="W440" s="4" t="s">
        <v>1248</v>
      </c>
      <c r="X440" s="2"/>
      <c r="Y440" s="435" t="s">
        <v>953</v>
      </c>
      <c r="Z440" s="436">
        <v>0.03</v>
      </c>
      <c r="AA440" s="483" t="s">
        <v>421</v>
      </c>
      <c r="AB440" s="438" t="s">
        <v>1249</v>
      </c>
      <c r="AC440" s="439" t="str">
        <f t="shared" si="6"/>
        <v>広島県廿日市市</v>
      </c>
      <c r="AD440" s="460">
        <v>10.210000000000001</v>
      </c>
      <c r="AE440" s="438">
        <v>10.17</v>
      </c>
      <c r="AF440" s="459">
        <v>10.14</v>
      </c>
      <c r="AG440" s="417"/>
      <c r="AH440" s="417"/>
    </row>
    <row r="441" spans="22:34">
      <c r="V441" s="4" t="s">
        <v>308</v>
      </c>
      <c r="W441" s="4" t="s">
        <v>1250</v>
      </c>
      <c r="X441" s="2"/>
      <c r="Y441" s="435" t="s">
        <v>953</v>
      </c>
      <c r="Z441" s="436">
        <v>0.03</v>
      </c>
      <c r="AA441" s="483" t="s">
        <v>421</v>
      </c>
      <c r="AB441" s="438" t="s">
        <v>1251</v>
      </c>
      <c r="AC441" s="439" t="str">
        <f t="shared" si="6"/>
        <v>広島県海田町</v>
      </c>
      <c r="AD441" s="460">
        <v>10.210000000000001</v>
      </c>
      <c r="AE441" s="438">
        <v>10.17</v>
      </c>
      <c r="AF441" s="459">
        <v>10.14</v>
      </c>
      <c r="AG441" s="417"/>
      <c r="AH441" s="417"/>
    </row>
    <row r="442" spans="22:34">
      <c r="V442" s="4" t="s">
        <v>308</v>
      </c>
      <c r="W442" s="4" t="s">
        <v>1252</v>
      </c>
      <c r="X442" s="2"/>
      <c r="Y442" s="435" t="s">
        <v>953</v>
      </c>
      <c r="Z442" s="436">
        <v>0.03</v>
      </c>
      <c r="AA442" s="483" t="s">
        <v>421</v>
      </c>
      <c r="AB442" s="438" t="s">
        <v>1253</v>
      </c>
      <c r="AC442" s="439" t="str">
        <f t="shared" si="6"/>
        <v>広島県熊野町</v>
      </c>
      <c r="AD442" s="460">
        <v>10.210000000000001</v>
      </c>
      <c r="AE442" s="438">
        <v>10.17</v>
      </c>
      <c r="AF442" s="459">
        <v>10.14</v>
      </c>
      <c r="AG442" s="417"/>
      <c r="AH442" s="417"/>
    </row>
    <row r="443" spans="22:34">
      <c r="V443" s="4" t="s">
        <v>308</v>
      </c>
      <c r="W443" s="4" t="s">
        <v>1254</v>
      </c>
      <c r="X443" s="2"/>
      <c r="Y443" s="435" t="s">
        <v>953</v>
      </c>
      <c r="Z443" s="436">
        <v>0.03</v>
      </c>
      <c r="AA443" s="483" t="s">
        <v>421</v>
      </c>
      <c r="AB443" s="438" t="s">
        <v>1255</v>
      </c>
      <c r="AC443" s="439" t="str">
        <f t="shared" si="6"/>
        <v>広島県坂町</v>
      </c>
      <c r="AD443" s="460">
        <v>10.210000000000001</v>
      </c>
      <c r="AE443" s="438">
        <v>10.17</v>
      </c>
      <c r="AF443" s="459">
        <v>10.14</v>
      </c>
      <c r="AG443" s="417"/>
      <c r="AH443" s="417"/>
    </row>
    <row r="444" spans="22:34">
      <c r="V444" s="4" t="s">
        <v>308</v>
      </c>
      <c r="W444" s="4" t="s">
        <v>1256</v>
      </c>
      <c r="X444" s="2"/>
      <c r="Y444" s="435" t="s">
        <v>953</v>
      </c>
      <c r="Z444" s="436">
        <v>0.03</v>
      </c>
      <c r="AA444" s="483" t="s">
        <v>425</v>
      </c>
      <c r="AB444" s="438" t="s">
        <v>1257</v>
      </c>
      <c r="AC444" s="439" t="str">
        <f t="shared" si="6"/>
        <v>山口県周南市</v>
      </c>
      <c r="AD444" s="460">
        <v>10.210000000000001</v>
      </c>
      <c r="AE444" s="438">
        <v>10.17</v>
      </c>
      <c r="AF444" s="459">
        <v>10.14</v>
      </c>
      <c r="AG444" s="417"/>
      <c r="AH444" s="417"/>
    </row>
    <row r="445" spans="22:34">
      <c r="V445" s="4" t="s">
        <v>308</v>
      </c>
      <c r="W445" s="4" t="s">
        <v>973</v>
      </c>
      <c r="X445" s="2"/>
      <c r="Y445" s="435" t="s">
        <v>953</v>
      </c>
      <c r="Z445" s="436">
        <v>0.03</v>
      </c>
      <c r="AA445" s="483" t="s">
        <v>429</v>
      </c>
      <c r="AB445" s="438" t="s">
        <v>1258</v>
      </c>
      <c r="AC445" s="439" t="str">
        <f t="shared" si="6"/>
        <v>徳島県徳島市</v>
      </c>
      <c r="AD445" s="460">
        <v>10.210000000000001</v>
      </c>
      <c r="AE445" s="438">
        <v>10.17</v>
      </c>
      <c r="AF445" s="459">
        <v>10.14</v>
      </c>
      <c r="AG445" s="417"/>
      <c r="AH445" s="417"/>
    </row>
    <row r="446" spans="22:34">
      <c r="V446" s="4" t="s">
        <v>308</v>
      </c>
      <c r="W446" s="4" t="s">
        <v>1259</v>
      </c>
      <c r="X446" s="2"/>
      <c r="Y446" s="435" t="s">
        <v>953</v>
      </c>
      <c r="Z446" s="436">
        <v>0.03</v>
      </c>
      <c r="AA446" s="483" t="s">
        <v>433</v>
      </c>
      <c r="AB446" s="438" t="s">
        <v>1260</v>
      </c>
      <c r="AC446" s="439" t="str">
        <f t="shared" si="6"/>
        <v>香川県高松市</v>
      </c>
      <c r="AD446" s="460">
        <v>10.210000000000001</v>
      </c>
      <c r="AE446" s="438">
        <v>10.17</v>
      </c>
      <c r="AF446" s="459">
        <v>10.14</v>
      </c>
      <c r="AG446" s="417"/>
      <c r="AH446" s="417"/>
    </row>
    <row r="447" spans="22:34">
      <c r="V447" s="4" t="s">
        <v>308</v>
      </c>
      <c r="W447" s="4" t="s">
        <v>1261</v>
      </c>
      <c r="X447" s="2"/>
      <c r="Y447" s="435" t="s">
        <v>953</v>
      </c>
      <c r="Z447" s="436">
        <v>0.03</v>
      </c>
      <c r="AA447" s="483" t="s">
        <v>446</v>
      </c>
      <c r="AB447" s="438" t="s">
        <v>1262</v>
      </c>
      <c r="AC447" s="439" t="str">
        <f t="shared" si="6"/>
        <v>福岡県北九州市</v>
      </c>
      <c r="AD447" s="460">
        <v>10.210000000000001</v>
      </c>
      <c r="AE447" s="438">
        <v>10.17</v>
      </c>
      <c r="AF447" s="459">
        <v>10.14</v>
      </c>
      <c r="AG447" s="417"/>
      <c r="AH447" s="417"/>
    </row>
    <row r="448" spans="22:34">
      <c r="V448" s="4" t="s">
        <v>308</v>
      </c>
      <c r="W448" s="4" t="s">
        <v>975</v>
      </c>
      <c r="X448" s="2"/>
      <c r="Y448" s="435" t="s">
        <v>953</v>
      </c>
      <c r="Z448" s="436">
        <v>0.03</v>
      </c>
      <c r="AA448" s="483" t="s">
        <v>446</v>
      </c>
      <c r="AB448" s="438" t="s">
        <v>1263</v>
      </c>
      <c r="AC448" s="439" t="str">
        <f t="shared" si="6"/>
        <v>福岡県飯塚市</v>
      </c>
      <c r="AD448" s="460">
        <v>10.210000000000001</v>
      </c>
      <c r="AE448" s="438">
        <v>10.17</v>
      </c>
      <c r="AF448" s="459">
        <v>10.14</v>
      </c>
      <c r="AG448" s="417"/>
      <c r="AH448" s="417"/>
    </row>
    <row r="449" spans="22:34">
      <c r="V449" s="4" t="s">
        <v>308</v>
      </c>
      <c r="W449" s="4" t="s">
        <v>1264</v>
      </c>
      <c r="X449" s="2"/>
      <c r="Y449" s="435" t="s">
        <v>953</v>
      </c>
      <c r="Z449" s="436">
        <v>0.03</v>
      </c>
      <c r="AA449" s="483" t="s">
        <v>446</v>
      </c>
      <c r="AB449" s="438" t="s">
        <v>1265</v>
      </c>
      <c r="AC449" s="439" t="str">
        <f t="shared" si="6"/>
        <v>福岡県筑紫野市</v>
      </c>
      <c r="AD449" s="460">
        <v>10.210000000000001</v>
      </c>
      <c r="AE449" s="438">
        <v>10.17</v>
      </c>
      <c r="AF449" s="459">
        <v>10.14</v>
      </c>
      <c r="AG449" s="417"/>
      <c r="AH449" s="417"/>
    </row>
    <row r="450" spans="22:34">
      <c r="V450" s="4" t="s">
        <v>308</v>
      </c>
      <c r="W450" s="4" t="s">
        <v>1266</v>
      </c>
      <c r="X450" s="2"/>
      <c r="Y450" s="435" t="s">
        <v>953</v>
      </c>
      <c r="Z450" s="436">
        <v>0.03</v>
      </c>
      <c r="AA450" s="483" t="s">
        <v>446</v>
      </c>
      <c r="AB450" s="438" t="s">
        <v>1267</v>
      </c>
      <c r="AC450" s="439" t="str">
        <f t="shared" si="6"/>
        <v>福岡県古賀市</v>
      </c>
      <c r="AD450" s="460">
        <v>10.210000000000001</v>
      </c>
      <c r="AE450" s="438">
        <v>10.17</v>
      </c>
      <c r="AF450" s="459">
        <v>10.14</v>
      </c>
      <c r="AG450" s="417"/>
      <c r="AH450" s="417"/>
    </row>
    <row r="451" spans="22:34" ht="13.8" thickBot="1">
      <c r="V451" s="4" t="s">
        <v>308</v>
      </c>
      <c r="W451" s="4" t="s">
        <v>1268</v>
      </c>
      <c r="X451" s="2"/>
      <c r="Y451" s="444" t="s">
        <v>953</v>
      </c>
      <c r="Z451" s="445">
        <v>0.03</v>
      </c>
      <c r="AA451" s="484" t="s">
        <v>454</v>
      </c>
      <c r="AB451" s="447" t="s">
        <v>1269</v>
      </c>
      <c r="AC451" s="448" t="str">
        <f t="shared" si="6"/>
        <v>長崎県長崎市</v>
      </c>
      <c r="AD451" s="466">
        <v>10.210000000000001</v>
      </c>
      <c r="AE451" s="447">
        <v>10.17</v>
      </c>
      <c r="AF451" s="467">
        <v>10.14</v>
      </c>
      <c r="AG451" s="417"/>
      <c r="AH451" s="417"/>
    </row>
    <row r="452" spans="22:34" ht="13.8" thickBot="1">
      <c r="V452" s="4" t="s">
        <v>308</v>
      </c>
      <c r="W452" s="4" t="s">
        <v>1270</v>
      </c>
      <c r="X452" s="2"/>
      <c r="Y452" s="418" t="s">
        <v>1271</v>
      </c>
      <c r="Z452" s="485">
        <v>0</v>
      </c>
      <c r="AA452" s="486"/>
      <c r="AB452" s="487"/>
      <c r="AC452" s="422" t="str">
        <f t="shared" ref="AC452" si="7">AA452&amp;AB452</f>
        <v/>
      </c>
      <c r="AD452" s="418" t="str">
        <f t="shared" ref="AD452" si="8">AA452&amp;AB452</f>
        <v/>
      </c>
      <c r="AE452" s="488"/>
      <c r="AF452" s="489"/>
      <c r="AG452" s="417"/>
      <c r="AH452" s="417"/>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3.8"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infopath/2007/PartnerControls"/>
    <ds:schemaRef ds:uri="http://purl.org/dc/elements/1.1/"/>
    <ds:schemaRef ds:uri="http://purl.org/dc/terms/"/>
    <ds:schemaRef ds:uri="3b7b391f-316a-4bc7-a585-b2bcaf106fac"/>
    <ds:schemaRef ds:uri="263dbbe5-076b-4606-a03b-9598f5f2f35a"/>
    <ds:schemaRef ds:uri="http://schemas.openxmlformats.org/package/2006/metadata/core-properties"/>
    <ds:schemaRef ds:uri="http://purl.org/dc/dcmitype/"/>
    <ds:schemaRef ds:uri="http://schemas.microsoft.com/office/2006/documentManagement/typ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2026-03-31T10:35:06Z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