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hidePivotFieldList="1" defaultThemeVersion="124226"/>
  <mc:AlternateContent xmlns:mc="http://schemas.openxmlformats.org/markup-compatibility/2006">
    <mc:Choice Requires="x15">
      <x15ac:absPath xmlns:x15ac="http://schemas.microsoft.com/office/spreadsheetml/2010/11/ac" url="\\172.30.36.60\disk1\04-2_林業研究室\01_個人フォルダ\12_佐々木\ホームページ\R4\メタデータ　確認用　DLファイル\Excel\岡山県構造用製材スパン表ができました\"/>
    </mc:Choice>
  </mc:AlternateContent>
  <xr:revisionPtr revIDLastSave="0" documentId="8_{DD585879-1426-4560-917C-0DA13B95019D}" xr6:coauthVersionLast="45" xr6:coauthVersionMax="45" xr10:uidLastSave="{00000000-0000-0000-0000-000000000000}"/>
  <bookViews>
    <workbookView xWindow="390" yWindow="390" windowWidth="14400" windowHeight="10755" tabRatio="831" xr2:uid="{00000000-000D-0000-FFFF-FFFF00000000}"/>
  </bookViews>
  <sheets>
    <sheet name="表紙" sheetId="19" r:id="rId1"/>
    <sheet name="はじめに" sheetId="21" r:id="rId2"/>
    <sheet name="根太" sheetId="1" r:id="rId3"/>
    <sheet name="床小梁" sheetId="8" r:id="rId4"/>
    <sheet name="床大梁（非支持）" sheetId="9" r:id="rId5"/>
    <sheet name="たるき" sheetId="10" r:id="rId6"/>
    <sheet name="もや・むな木" sheetId="11" r:id="rId7"/>
    <sheet name="小屋ばり" sheetId="12" r:id="rId8"/>
    <sheet name="軒げた" sheetId="14" r:id="rId9"/>
    <sheet name="胴差１_1" sheetId="15" r:id="rId10"/>
    <sheet name="胴差1_2" sheetId="16" r:id="rId11"/>
    <sheet name="胴差の荷重形式" sheetId="6" r:id="rId12"/>
    <sheet name="胴差2_1" sheetId="17" r:id="rId13"/>
    <sheet name="胴差2_2" sheetId="18" r:id="rId14"/>
    <sheet name="data" sheetId="13" state="hidden" r:id="rId15"/>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63" i="14" l="1"/>
  <c r="C63" i="14"/>
  <c r="E42" i="16"/>
  <c r="C42" i="16"/>
  <c r="N52" i="18"/>
  <c r="N51" i="18"/>
  <c r="S18" i="18"/>
  <c r="S10" i="18"/>
  <c r="O52" i="17" l="1"/>
  <c r="O51" i="17"/>
  <c r="S19" i="17" l="1"/>
  <c r="T19" i="17" s="1"/>
  <c r="AG32" i="16"/>
  <c r="AG31" i="16"/>
  <c r="AG30" i="16"/>
  <c r="AG29" i="16"/>
  <c r="M20" i="16"/>
  <c r="M19" i="16"/>
  <c r="M10" i="16"/>
  <c r="N10" i="16" s="1"/>
  <c r="L20" i="16" s="1"/>
  <c r="M20" i="15"/>
  <c r="M19" i="15"/>
  <c r="M35" i="14"/>
  <c r="N35" i="14" s="1"/>
  <c r="M21" i="8"/>
  <c r="M20" i="8"/>
  <c r="K20" i="1"/>
  <c r="K19" i="1"/>
  <c r="H162" i="18"/>
  <c r="H152" i="18"/>
  <c r="H142" i="18"/>
  <c r="F118" i="17"/>
  <c r="F116" i="17"/>
  <c r="F138" i="18"/>
  <c r="F136" i="18"/>
  <c r="E119" i="18"/>
  <c r="E117" i="18"/>
  <c r="H124" i="18" s="1"/>
  <c r="E114" i="18"/>
  <c r="E112" i="18"/>
  <c r="F122" i="18" s="1"/>
  <c r="E99" i="18"/>
  <c r="E97" i="18"/>
  <c r="H104" i="18" s="1"/>
  <c r="E94" i="18"/>
  <c r="E92" i="18"/>
  <c r="E73" i="18"/>
  <c r="E48" i="17"/>
  <c r="E44" i="17" s="1"/>
  <c r="C48" i="17"/>
  <c r="C14" i="17" s="1"/>
  <c r="E46" i="18"/>
  <c r="E42" i="18" s="1"/>
  <c r="I208" i="18" s="1"/>
  <c r="C46" i="18"/>
  <c r="J25" i="13"/>
  <c r="J24" i="13"/>
  <c r="K19" i="13"/>
  <c r="K18" i="13"/>
  <c r="K25" i="13"/>
  <c r="K24" i="13"/>
  <c r="E217" i="18"/>
  <c r="C214" i="18"/>
  <c r="D212" i="18"/>
  <c r="F214" i="18" s="1"/>
  <c r="C210" i="18"/>
  <c r="D208" i="18"/>
  <c r="F208" i="18" s="1"/>
  <c r="E205" i="18"/>
  <c r="C202" i="18"/>
  <c r="D200" i="18"/>
  <c r="F202" i="18" s="1"/>
  <c r="C198" i="18"/>
  <c r="D196" i="18"/>
  <c r="F196" i="18" s="1"/>
  <c r="E194" i="18"/>
  <c r="C191" i="18"/>
  <c r="D189" i="18"/>
  <c r="F189" i="18" s="1"/>
  <c r="C187" i="18"/>
  <c r="D185" i="18"/>
  <c r="F185" i="18" s="1"/>
  <c r="E181" i="18"/>
  <c r="E179" i="18"/>
  <c r="E175" i="18"/>
  <c r="D181" i="18" s="1"/>
  <c r="D172" i="18"/>
  <c r="G138" i="18"/>
  <c r="E138" i="18"/>
  <c r="G136" i="18"/>
  <c r="E136" i="18"/>
  <c r="E133" i="18"/>
  <c r="E76" i="18"/>
  <c r="H83" i="18" s="1"/>
  <c r="E71" i="18"/>
  <c r="D66" i="18"/>
  <c r="H64" i="18"/>
  <c r="G64" i="18"/>
  <c r="F64" i="18"/>
  <c r="E64" i="18"/>
  <c r="D62" i="18"/>
  <c r="H60" i="18"/>
  <c r="G60" i="18"/>
  <c r="F60" i="18"/>
  <c r="E60" i="18"/>
  <c r="E57" i="18"/>
  <c r="D46" i="18"/>
  <c r="B46" i="18"/>
  <c r="M20" i="18"/>
  <c r="N20" i="18" s="1"/>
  <c r="M49" i="18" s="1"/>
  <c r="P49" i="18"/>
  <c r="D33" i="18" s="1"/>
  <c r="O41" i="18"/>
  <c r="L39" i="18"/>
  <c r="L38" i="18"/>
  <c r="O38" i="18" s="1"/>
  <c r="M28" i="18"/>
  <c r="N28" i="18" s="1"/>
  <c r="M53" i="18" s="1"/>
  <c r="P53" i="18" s="1"/>
  <c r="E24" i="18" s="1"/>
  <c r="T10" i="18"/>
  <c r="E21" i="18"/>
  <c r="O40" i="18" s="1"/>
  <c r="M12" i="18"/>
  <c r="N12" i="18" s="1"/>
  <c r="E197" i="17"/>
  <c r="C194" i="17"/>
  <c r="D192" i="17"/>
  <c r="F192" i="17" s="1"/>
  <c r="C190" i="17"/>
  <c r="D188" i="17"/>
  <c r="F188" i="17" s="1"/>
  <c r="E185" i="17"/>
  <c r="C182" i="17"/>
  <c r="D180" i="17"/>
  <c r="F180" i="17" s="1"/>
  <c r="C178" i="17"/>
  <c r="D176" i="17"/>
  <c r="F176" i="17" s="1"/>
  <c r="E174" i="17"/>
  <c r="C171" i="17"/>
  <c r="D169" i="17"/>
  <c r="F169" i="17" s="1"/>
  <c r="D165" i="17"/>
  <c r="E161" i="17"/>
  <c r="E159" i="17"/>
  <c r="E155" i="17"/>
  <c r="D161" i="17" s="1"/>
  <c r="J22" i="13"/>
  <c r="J21" i="13"/>
  <c r="H142" i="17"/>
  <c r="H132" i="17"/>
  <c r="K16" i="13"/>
  <c r="K15" i="13"/>
  <c r="H122" i="17"/>
  <c r="G118" i="17"/>
  <c r="E118" i="17"/>
  <c r="G116" i="17"/>
  <c r="E116" i="17"/>
  <c r="E101" i="17"/>
  <c r="H105" i="17" s="1"/>
  <c r="E99" i="17"/>
  <c r="E87" i="17"/>
  <c r="E85" i="17"/>
  <c r="K22" i="13"/>
  <c r="K21" i="13"/>
  <c r="E73" i="17"/>
  <c r="H77" i="17" s="1"/>
  <c r="E71" i="17"/>
  <c r="E57" i="17"/>
  <c r="D66" i="17"/>
  <c r="H64" i="17"/>
  <c r="G64" i="17"/>
  <c r="F64" i="17"/>
  <c r="E64" i="17"/>
  <c r="D62" i="17"/>
  <c r="H60" i="17"/>
  <c r="G60" i="17"/>
  <c r="F60" i="17"/>
  <c r="E60" i="17"/>
  <c r="C9" i="17"/>
  <c r="E97" i="16"/>
  <c r="D93" i="16"/>
  <c r="D89" i="16"/>
  <c r="I22" i="13"/>
  <c r="I21" i="13"/>
  <c r="E84" i="16"/>
  <c r="I19" i="13"/>
  <c r="I18" i="13"/>
  <c r="F19" i="13"/>
  <c r="F18" i="13"/>
  <c r="F70" i="16"/>
  <c r="F51" i="16"/>
  <c r="F32" i="16"/>
  <c r="E57" i="16" s="1"/>
  <c r="E32" i="16"/>
  <c r="E87" i="16" s="1"/>
  <c r="E21" i="15"/>
  <c r="E25" i="16"/>
  <c r="F7" i="16"/>
  <c r="C167" i="17"/>
  <c r="D152" i="17"/>
  <c r="E113" i="17"/>
  <c r="D48" i="17"/>
  <c r="B48" i="17"/>
  <c r="M21" i="17"/>
  <c r="N21" i="17" s="1"/>
  <c r="N49" i="17" s="1"/>
  <c r="Q49" i="17" s="1"/>
  <c r="D38" i="17" s="1"/>
  <c r="O41" i="17"/>
  <c r="L39" i="17"/>
  <c r="L38" i="17"/>
  <c r="O38" i="17" s="1"/>
  <c r="M29" i="17"/>
  <c r="N29" i="17" s="1"/>
  <c r="N53" i="17" s="1"/>
  <c r="Q53" i="17" s="1"/>
  <c r="E25" i="17" s="1"/>
  <c r="D118" i="17" s="1"/>
  <c r="S11" i="17"/>
  <c r="T11" i="17" s="1"/>
  <c r="N51" i="17" s="1"/>
  <c r="N52" i="17" s="1"/>
  <c r="E21" i="17"/>
  <c r="O40" i="17" s="1"/>
  <c r="M13" i="17"/>
  <c r="N13" i="17" s="1"/>
  <c r="E27" i="17"/>
  <c r="E23" i="17"/>
  <c r="E53" i="15"/>
  <c r="D56" i="15" s="1"/>
  <c r="E32" i="15"/>
  <c r="E28" i="15" s="1"/>
  <c r="C32" i="15"/>
  <c r="D26" i="15" s="1"/>
  <c r="H22" i="13"/>
  <c r="H21" i="13"/>
  <c r="I16" i="13"/>
  <c r="I15" i="13"/>
  <c r="F16" i="13"/>
  <c r="F15" i="13"/>
  <c r="C9" i="15"/>
  <c r="AG31" i="15"/>
  <c r="AG32" i="15" s="1"/>
  <c r="E45" i="15"/>
  <c r="E38" i="15"/>
  <c r="D42" i="16"/>
  <c r="B42" i="16"/>
  <c r="E38" i="16"/>
  <c r="J87" i="16" s="1"/>
  <c r="C37" i="16"/>
  <c r="D36" i="16"/>
  <c r="F78" i="16" s="1"/>
  <c r="C14" i="16"/>
  <c r="E66" i="16" s="1"/>
  <c r="E23" i="16"/>
  <c r="E19" i="16"/>
  <c r="E22" i="16" s="1"/>
  <c r="E51" i="16" s="1"/>
  <c r="E23" i="15"/>
  <c r="M10" i="15"/>
  <c r="N10" i="15" s="1"/>
  <c r="L19" i="15" s="1"/>
  <c r="D32" i="15"/>
  <c r="B32" i="15"/>
  <c r="E17" i="15"/>
  <c r="E419" i="14"/>
  <c r="E418" i="14"/>
  <c r="D414" i="14"/>
  <c r="E410" i="14"/>
  <c r="E409" i="14"/>
  <c r="D405" i="14"/>
  <c r="E401" i="14"/>
  <c r="D397" i="14"/>
  <c r="E392" i="14"/>
  <c r="E391" i="14"/>
  <c r="D387" i="14"/>
  <c r="D383" i="14"/>
  <c r="E378" i="14"/>
  <c r="E377" i="14"/>
  <c r="D373" i="14"/>
  <c r="D369" i="14"/>
  <c r="E365" i="14"/>
  <c r="D361" i="14"/>
  <c r="D357" i="14"/>
  <c r="E299" i="14"/>
  <c r="E297" i="14"/>
  <c r="E352" i="14"/>
  <c r="E351" i="14"/>
  <c r="D347" i="14"/>
  <c r="E343" i="14"/>
  <c r="E342" i="14"/>
  <c r="D338" i="14"/>
  <c r="E334" i="14"/>
  <c r="D330" i="14"/>
  <c r="E325" i="14"/>
  <c r="E324" i="14"/>
  <c r="E316" i="14"/>
  <c r="E315" i="14"/>
  <c r="E307" i="14"/>
  <c r="E295" i="14"/>
  <c r="F180" i="14"/>
  <c r="F178" i="14"/>
  <c r="F176" i="14"/>
  <c r="F53" i="14"/>
  <c r="E53" i="14"/>
  <c r="F47" i="14"/>
  <c r="E47" i="14"/>
  <c r="F42" i="14"/>
  <c r="E42" i="14"/>
  <c r="F37" i="14"/>
  <c r="E37" i="14"/>
  <c r="D42" i="14"/>
  <c r="F95" i="14" s="1"/>
  <c r="G22" i="13"/>
  <c r="G21" i="13"/>
  <c r="I13" i="13"/>
  <c r="I12" i="13"/>
  <c r="F13" i="13"/>
  <c r="F12" i="13"/>
  <c r="E58" i="12"/>
  <c r="C58" i="12"/>
  <c r="E7" i="11"/>
  <c r="E31" i="11" s="1"/>
  <c r="W4" i="9"/>
  <c r="W5" i="9" s="1"/>
  <c r="T10" i="8"/>
  <c r="T11" i="8" s="1"/>
  <c r="L19" i="16" l="1"/>
  <c r="F7" i="15"/>
  <c r="L20" i="15"/>
  <c r="M51" i="18"/>
  <c r="P51" i="18" s="1"/>
  <c r="D36" i="18" s="1"/>
  <c r="H78" i="18" s="1"/>
  <c r="M52" i="18"/>
  <c r="P52" i="18" s="1"/>
  <c r="D37" i="18" s="1"/>
  <c r="E122" i="18"/>
  <c r="C43" i="17"/>
  <c r="E75" i="17"/>
  <c r="F89" i="17"/>
  <c r="F194" i="17"/>
  <c r="F103" i="17"/>
  <c r="E89" i="17"/>
  <c r="E103" i="17"/>
  <c r="H84" i="16"/>
  <c r="E91" i="16"/>
  <c r="G91" i="16" s="1"/>
  <c r="H74" i="16"/>
  <c r="J91" i="16"/>
  <c r="E55" i="16"/>
  <c r="E70" i="16"/>
  <c r="H70" i="16" s="1"/>
  <c r="G93" i="16"/>
  <c r="F102" i="18"/>
  <c r="E102" i="18"/>
  <c r="E81" i="18"/>
  <c r="S38" i="18"/>
  <c r="P43" i="18" s="1"/>
  <c r="O47" i="18" s="1"/>
  <c r="S19" i="18"/>
  <c r="T19" i="18" s="1"/>
  <c r="M50" i="18" s="1"/>
  <c r="P50" i="18" s="1"/>
  <c r="D32" i="18" s="1"/>
  <c r="M13" i="18"/>
  <c r="N13" i="18" s="1"/>
  <c r="M46" i="18" s="1"/>
  <c r="F7" i="18"/>
  <c r="I169" i="17"/>
  <c r="I192" i="17"/>
  <c r="I188" i="17"/>
  <c r="F7" i="17"/>
  <c r="D42" i="17"/>
  <c r="G136" i="17" s="1"/>
  <c r="I189" i="18"/>
  <c r="I200" i="18"/>
  <c r="I212" i="18"/>
  <c r="F81" i="18"/>
  <c r="K17" i="13"/>
  <c r="K23" i="13"/>
  <c r="F130" i="18" s="1"/>
  <c r="J23" i="13"/>
  <c r="D136" i="18"/>
  <c r="H136" i="18" s="1"/>
  <c r="D60" i="18"/>
  <c r="G62" i="18" s="1"/>
  <c r="D138" i="18"/>
  <c r="H138" i="18" s="1"/>
  <c r="D64" i="18"/>
  <c r="G66" i="18" s="1"/>
  <c r="T18" i="18"/>
  <c r="D177" i="18"/>
  <c r="E177" i="18" s="1"/>
  <c r="F200" i="18"/>
  <c r="F212" i="18"/>
  <c r="G172" i="18"/>
  <c r="I185" i="18"/>
  <c r="I196" i="18"/>
  <c r="F182" i="17"/>
  <c r="I176" i="17"/>
  <c r="I180" i="17"/>
  <c r="I17" i="13"/>
  <c r="F80" i="16" s="1"/>
  <c r="H80" i="16" s="1"/>
  <c r="J81" i="16" s="1"/>
  <c r="D45" i="16" s="1"/>
  <c r="I20" i="13"/>
  <c r="I87" i="16" s="1"/>
  <c r="J20" i="13"/>
  <c r="D157" i="17"/>
  <c r="E157" i="17" s="1"/>
  <c r="K14" i="13"/>
  <c r="D116" i="17"/>
  <c r="H116" i="17" s="1"/>
  <c r="H118" i="17"/>
  <c r="K20" i="13"/>
  <c r="H91" i="17"/>
  <c r="M14" i="17"/>
  <c r="N14" i="17" s="1"/>
  <c r="N46" i="17" s="1"/>
  <c r="D64" i="17"/>
  <c r="G66" i="17" s="1"/>
  <c r="D60" i="17"/>
  <c r="G62" i="17" s="1"/>
  <c r="Q51" i="17"/>
  <c r="E24" i="17" s="1"/>
  <c r="E26" i="17" s="1"/>
  <c r="D113" i="17" s="1"/>
  <c r="S20" i="17"/>
  <c r="T20" i="17" s="1"/>
  <c r="N50" i="17" s="1"/>
  <c r="Q50" i="17" s="1"/>
  <c r="D37" i="17" s="1"/>
  <c r="Q52" i="17"/>
  <c r="E28" i="17" s="1"/>
  <c r="E30" i="17" s="1"/>
  <c r="E29" i="17"/>
  <c r="G152" i="17"/>
  <c r="I165" i="17"/>
  <c r="G87" i="16"/>
  <c r="E80" i="16"/>
  <c r="G80" i="16"/>
  <c r="E26" i="16"/>
  <c r="D84" i="16" s="1"/>
  <c r="H51" i="16"/>
  <c r="F17" i="13"/>
  <c r="F66" i="16" s="1"/>
  <c r="G66" i="16"/>
  <c r="N19" i="16"/>
  <c r="N20" i="16"/>
  <c r="S38" i="17"/>
  <c r="E96" i="17"/>
  <c r="E138" i="17"/>
  <c r="E82" i="17"/>
  <c r="G110" i="17"/>
  <c r="G128" i="17"/>
  <c r="E148" i="17"/>
  <c r="F165" i="17"/>
  <c r="G96" i="17"/>
  <c r="G138" i="17"/>
  <c r="G82" i="17"/>
  <c r="E110" i="17"/>
  <c r="E128" i="17"/>
  <c r="G148" i="17"/>
  <c r="N20" i="15"/>
  <c r="E22" i="15" s="1"/>
  <c r="E24" i="15" s="1"/>
  <c r="H20" i="13"/>
  <c r="H53" i="15"/>
  <c r="AG34" i="15"/>
  <c r="F47" i="15"/>
  <c r="C27" i="15"/>
  <c r="I14" i="13"/>
  <c r="F14" i="13"/>
  <c r="C13" i="15"/>
  <c r="AG33" i="15"/>
  <c r="E345" i="14"/>
  <c r="G345" i="14" s="1"/>
  <c r="E336" i="14"/>
  <c r="G336" i="14" s="1"/>
  <c r="E328" i="14"/>
  <c r="G328" i="14" s="1"/>
  <c r="F97" i="14"/>
  <c r="F96" i="14"/>
  <c r="I11" i="13"/>
  <c r="F11" i="13"/>
  <c r="G20" i="13"/>
  <c r="W7" i="9"/>
  <c r="W6" i="9"/>
  <c r="T12" i="8"/>
  <c r="T13" i="8"/>
  <c r="T6" i="8"/>
  <c r="T7" i="8" s="1"/>
  <c r="H114" i="18" l="1"/>
  <c r="H99" i="18"/>
  <c r="H119" i="18"/>
  <c r="G146" i="17"/>
  <c r="E59" i="16"/>
  <c r="F59" i="16"/>
  <c r="I91" i="16"/>
  <c r="G84" i="16"/>
  <c r="J84" i="16" s="1"/>
  <c r="H200" i="18"/>
  <c r="F172" i="18"/>
  <c r="H185" i="18"/>
  <c r="H212" i="18"/>
  <c r="H196" i="18"/>
  <c r="H208" i="18"/>
  <c r="H189" i="18"/>
  <c r="F158" i="18"/>
  <c r="F168" i="18"/>
  <c r="F148" i="18"/>
  <c r="H94" i="18"/>
  <c r="H73" i="18"/>
  <c r="F89" i="18"/>
  <c r="F109" i="18"/>
  <c r="P42" i="18"/>
  <c r="O48" i="18" s="1"/>
  <c r="G126" i="17"/>
  <c r="F110" i="17"/>
  <c r="H110" i="17" s="1"/>
  <c r="H192" i="17"/>
  <c r="H188" i="17"/>
  <c r="F128" i="17"/>
  <c r="H128" i="17" s="1"/>
  <c r="H176" i="17"/>
  <c r="H180" i="17"/>
  <c r="F152" i="17"/>
  <c r="D162" i="17" s="1"/>
  <c r="H165" i="17"/>
  <c r="H169" i="17"/>
  <c r="F148" i="17"/>
  <c r="H148" i="17" s="1"/>
  <c r="F138" i="17"/>
  <c r="H138" i="17" s="1"/>
  <c r="F96" i="17"/>
  <c r="H96" i="17" s="1"/>
  <c r="D57" i="17"/>
  <c r="G57" i="17" s="1"/>
  <c r="F82" i="17"/>
  <c r="H82" i="17" s="1"/>
  <c r="H66" i="16"/>
  <c r="E34" i="16"/>
  <c r="D87" i="16" s="1"/>
  <c r="G89" i="16" s="1"/>
  <c r="F34" i="16"/>
  <c r="D91" i="16" s="1"/>
  <c r="E33" i="16"/>
  <c r="F33" i="16"/>
  <c r="G53" i="15"/>
  <c r="F49" i="15"/>
  <c r="F41" i="15"/>
  <c r="P42" i="17"/>
  <c r="P48" i="17" s="1"/>
  <c r="P43" i="17"/>
  <c r="P47" i="17" s="1"/>
  <c r="D53" i="15"/>
  <c r="E41" i="15"/>
  <c r="E49" i="15"/>
  <c r="G41" i="15"/>
  <c r="G49" i="15"/>
  <c r="N19" i="15"/>
  <c r="E18" i="15" s="1"/>
  <c r="E20" i="15" s="1"/>
  <c r="I403" i="14"/>
  <c r="I395" i="14"/>
  <c r="I412" i="14"/>
  <c r="I371" i="14"/>
  <c r="I355" i="14"/>
  <c r="G297" i="14"/>
  <c r="I381" i="14"/>
  <c r="I359" i="14"/>
  <c r="G299" i="14"/>
  <c r="I385" i="14"/>
  <c r="I367" i="14"/>
  <c r="I345" i="14"/>
  <c r="I336" i="14"/>
  <c r="I318" i="14"/>
  <c r="G295" i="14"/>
  <c r="I328" i="14"/>
  <c r="I309" i="14"/>
  <c r="I301" i="14"/>
  <c r="G273" i="14"/>
  <c r="G264" i="14"/>
  <c r="G282" i="14"/>
  <c r="G254" i="14"/>
  <c r="G244" i="14"/>
  <c r="G291" i="14"/>
  <c r="G216" i="14"/>
  <c r="G207" i="14"/>
  <c r="G198" i="14"/>
  <c r="G234" i="14"/>
  <c r="G189" i="14"/>
  <c r="G225" i="14"/>
  <c r="G164" i="14"/>
  <c r="G172" i="14"/>
  <c r="G125" i="14"/>
  <c r="G168" i="14"/>
  <c r="G153" i="14"/>
  <c r="G139" i="14"/>
  <c r="G83" i="14"/>
  <c r="G102" i="14"/>
  <c r="G110" i="14"/>
  <c r="G106" i="14"/>
  <c r="G91" i="14"/>
  <c r="G87" i="14"/>
  <c r="T8" i="8"/>
  <c r="T9" i="8"/>
  <c r="P22" i="1"/>
  <c r="P21" i="1"/>
  <c r="D95" i="16" l="1"/>
  <c r="J97" i="16" s="1"/>
  <c r="D46" i="16" s="1"/>
  <c r="D178" i="18"/>
  <c r="D182" i="18"/>
  <c r="D158" i="17"/>
  <c r="F75" i="17"/>
  <c r="H55" i="16"/>
  <c r="E73" i="16"/>
  <c r="H73" i="16"/>
  <c r="H75" i="16" s="1"/>
  <c r="H57" i="16"/>
  <c r="E61" i="16" s="1"/>
  <c r="F61" i="16" s="1"/>
  <c r="E74" i="16"/>
  <c r="H49" i="15"/>
  <c r="H41" i="15"/>
  <c r="J53" i="15"/>
  <c r="J56" i="15" s="1"/>
  <c r="J32" i="15" s="1"/>
  <c r="D45" i="15"/>
  <c r="G45" i="15" s="1"/>
  <c r="D38" i="15"/>
  <c r="G38" i="15" s="1"/>
  <c r="D40" i="15" s="1"/>
  <c r="D53" i="14"/>
  <c r="D47" i="14"/>
  <c r="E75" i="16" l="1"/>
  <c r="J75" i="16" s="1"/>
  <c r="H59" i="16"/>
  <c r="J60" i="16" s="1"/>
  <c r="D62" i="16" s="1"/>
  <c r="F64" i="16" s="1"/>
  <c r="J67" i="16" s="1"/>
  <c r="D44" i="16" s="1"/>
  <c r="H61" i="16"/>
  <c r="J42" i="15"/>
  <c r="J30" i="15" s="1"/>
  <c r="E47" i="15"/>
  <c r="G47" i="15" s="1"/>
  <c r="J50" i="15" s="1"/>
  <c r="J31" i="15" s="1"/>
  <c r="F32" i="15"/>
  <c r="E412" i="14"/>
  <c r="G412" i="14" s="1"/>
  <c r="E403" i="14"/>
  <c r="G403" i="14" s="1"/>
  <c r="E395" i="14"/>
  <c r="G395" i="14" s="1"/>
  <c r="E367" i="14"/>
  <c r="E355" i="14"/>
  <c r="E381" i="14"/>
  <c r="E371" i="14"/>
  <c r="G371" i="14" s="1"/>
  <c r="E359" i="14"/>
  <c r="G359" i="14" s="1"/>
  <c r="E385" i="14"/>
  <c r="G385" i="14" s="1"/>
  <c r="F158" i="14"/>
  <c r="F159" i="14"/>
  <c r="F157" i="14"/>
  <c r="F142" i="14"/>
  <c r="F128" i="14"/>
  <c r="F114" i="14"/>
  <c r="E76" i="16" l="1"/>
  <c r="F42" i="16" s="1"/>
  <c r="F116" i="14"/>
  <c r="F118" i="14" s="1"/>
  <c r="F130" i="14"/>
  <c r="F132" i="14" s="1"/>
  <c r="F144" i="14"/>
  <c r="G146" i="14" s="1"/>
  <c r="D37" i="14"/>
  <c r="E78" i="16" l="1"/>
  <c r="G78" i="16" s="1"/>
  <c r="F146" i="14"/>
  <c r="F77" i="14"/>
  <c r="F78" i="14"/>
  <c r="G132" i="14"/>
  <c r="G118" i="14"/>
  <c r="F76" i="14"/>
  <c r="E301" i="14"/>
  <c r="E318" i="14"/>
  <c r="E309" i="14"/>
  <c r="D63" i="14"/>
  <c r="B63" i="14"/>
  <c r="R28" i="14"/>
  <c r="S28" i="14" s="1"/>
  <c r="M53" i="14" s="1"/>
  <c r="O53" i="14" s="1"/>
  <c r="E59" i="14"/>
  <c r="C58" i="14"/>
  <c r="D57" i="14"/>
  <c r="O45" i="14"/>
  <c r="M36" i="14" s="1"/>
  <c r="N36" i="14" s="1"/>
  <c r="M54" i="14" s="1"/>
  <c r="L43" i="14"/>
  <c r="L42" i="14"/>
  <c r="O42" i="14" s="1"/>
  <c r="S42" i="14" s="1"/>
  <c r="G355" i="14"/>
  <c r="M29" i="14"/>
  <c r="N29" i="14" s="1"/>
  <c r="E21" i="14"/>
  <c r="O44" i="14" s="1"/>
  <c r="C14" i="14"/>
  <c r="C9" i="14"/>
  <c r="E23" i="14"/>
  <c r="H299" i="14" l="1"/>
  <c r="J345" i="14"/>
  <c r="J412" i="14"/>
  <c r="J403" i="14"/>
  <c r="J395" i="14"/>
  <c r="J336" i="14"/>
  <c r="H297" i="14"/>
  <c r="H91" i="14"/>
  <c r="I91" i="14" s="1"/>
  <c r="F273" i="14"/>
  <c r="H225" i="14"/>
  <c r="I225" i="14" s="1"/>
  <c r="F216" i="14"/>
  <c r="F168" i="14"/>
  <c r="H106" i="14"/>
  <c r="I106" i="14" s="1"/>
  <c r="F291" i="14"/>
  <c r="H273" i="14"/>
  <c r="I273" i="14" s="1"/>
  <c r="H216" i="14"/>
  <c r="I216" i="14" s="1"/>
  <c r="H168" i="14"/>
  <c r="I168" i="14" s="1"/>
  <c r="F102" i="14"/>
  <c r="H291" i="14"/>
  <c r="I291" i="14" s="1"/>
  <c r="F282" i="14"/>
  <c r="F234" i="14"/>
  <c r="F164" i="14"/>
  <c r="H110" i="14"/>
  <c r="I110" i="14" s="1"/>
  <c r="H102" i="14"/>
  <c r="I102" i="14" s="1"/>
  <c r="H282" i="14"/>
  <c r="I282" i="14" s="1"/>
  <c r="H234" i="14"/>
  <c r="I234" i="14" s="1"/>
  <c r="F225" i="14"/>
  <c r="H172" i="14"/>
  <c r="I172" i="14" s="1"/>
  <c r="H164" i="14"/>
  <c r="I164" i="14" s="1"/>
  <c r="F106" i="14"/>
  <c r="F110" i="14"/>
  <c r="F172" i="14"/>
  <c r="J328" i="14"/>
  <c r="G289" i="14"/>
  <c r="G271" i="14"/>
  <c r="G214" i="14"/>
  <c r="G280" i="14"/>
  <c r="G232" i="14"/>
  <c r="G223" i="14"/>
  <c r="J359" i="14"/>
  <c r="G67" i="14"/>
  <c r="G69" i="14"/>
  <c r="G71" i="14"/>
  <c r="O54" i="14"/>
  <c r="E24" i="14" s="1"/>
  <c r="F83" i="14"/>
  <c r="P47" i="14"/>
  <c r="N51" i="14" s="1"/>
  <c r="P46" i="14"/>
  <c r="N52" i="14" s="1"/>
  <c r="M30" i="14"/>
  <c r="N30" i="14" s="1"/>
  <c r="M50" i="14" s="1"/>
  <c r="G309" i="14"/>
  <c r="G318" i="14"/>
  <c r="H264" i="14"/>
  <c r="F244" i="14"/>
  <c r="H153" i="14"/>
  <c r="F254" i="14"/>
  <c r="H207" i="14"/>
  <c r="F198" i="14"/>
  <c r="H189" i="14"/>
  <c r="H254" i="14"/>
  <c r="F207" i="14"/>
  <c r="H198" i="14"/>
  <c r="F189" i="14"/>
  <c r="F139" i="14"/>
  <c r="H87" i="14"/>
  <c r="I87" i="14" s="1"/>
  <c r="F125" i="14"/>
  <c r="F153" i="14"/>
  <c r="G242" i="14"/>
  <c r="G367" i="14"/>
  <c r="G381" i="14"/>
  <c r="G262" i="14"/>
  <c r="G205" i="14"/>
  <c r="G187" i="14"/>
  <c r="G252" i="14"/>
  <c r="G196" i="14"/>
  <c r="F87" i="14"/>
  <c r="H125" i="14"/>
  <c r="H139" i="14"/>
  <c r="H244" i="14"/>
  <c r="F264" i="14"/>
  <c r="G301" i="14"/>
  <c r="J381" i="14"/>
  <c r="J318" i="14"/>
  <c r="J385" i="14"/>
  <c r="J367" i="14"/>
  <c r="J355" i="14"/>
  <c r="H295" i="14"/>
  <c r="J301" i="14"/>
  <c r="H83" i="14"/>
  <c r="I83" i="14" s="1"/>
  <c r="F91" i="14"/>
  <c r="J309" i="14"/>
  <c r="J371" i="14"/>
  <c r="C14" i="12"/>
  <c r="F24" i="13"/>
  <c r="F25" i="13"/>
  <c r="F26" i="13"/>
  <c r="G26" i="13"/>
  <c r="F27" i="13"/>
  <c r="E27" i="13"/>
  <c r="E26" i="13"/>
  <c r="E25" i="13"/>
  <c r="E24" i="13"/>
  <c r="F10" i="12" l="1"/>
  <c r="F22" i="13"/>
  <c r="F21" i="13"/>
  <c r="H19" i="13"/>
  <c r="H18" i="13"/>
  <c r="E19" i="13"/>
  <c r="E18" i="13"/>
  <c r="E22" i="13"/>
  <c r="E21" i="13"/>
  <c r="H16" i="13"/>
  <c r="H15" i="13"/>
  <c r="E16" i="13"/>
  <c r="E15" i="13"/>
  <c r="D320" i="14" l="1"/>
  <c r="D311" i="14"/>
  <c r="D303" i="14"/>
  <c r="E14" i="13"/>
  <c r="H43" i="11" s="1"/>
  <c r="E17" i="13"/>
  <c r="F20" i="13"/>
  <c r="H17" i="13"/>
  <c r="E20" i="13"/>
  <c r="G81" i="11" s="1"/>
  <c r="H14" i="13"/>
  <c r="G67" i="11" s="1"/>
  <c r="G408" i="12" l="1"/>
  <c r="G308" i="12"/>
  <c r="I319" i="12"/>
  <c r="G174" i="12"/>
  <c r="I125" i="14"/>
  <c r="I139" i="14"/>
  <c r="I153" i="14"/>
  <c r="G422" i="12"/>
  <c r="G244" i="12"/>
  <c r="I244" i="14"/>
  <c r="I254" i="14"/>
  <c r="I189" i="14"/>
  <c r="I264" i="14"/>
  <c r="I198" i="14"/>
  <c r="I207" i="14"/>
  <c r="H51" i="11"/>
  <c r="I367" i="12"/>
  <c r="H47" i="11"/>
  <c r="I311" i="12"/>
  <c r="G381" i="12"/>
  <c r="G82" i="12"/>
  <c r="G165" i="12"/>
  <c r="G274" i="12"/>
  <c r="I371" i="12"/>
  <c r="G391" i="12"/>
  <c r="G86" i="12"/>
  <c r="G138" i="12"/>
  <c r="G264" i="12"/>
  <c r="I328" i="12"/>
  <c r="G398" i="12"/>
  <c r="G115" i="12"/>
  <c r="G147" i="12"/>
  <c r="G196" i="12"/>
  <c r="G254" i="12"/>
  <c r="G205" i="12"/>
  <c r="G234" i="12"/>
  <c r="G294" i="12"/>
  <c r="G101" i="12"/>
  <c r="G156" i="12"/>
  <c r="G183" i="12"/>
  <c r="G214" i="12"/>
  <c r="G284" i="12"/>
  <c r="G304" i="12"/>
  <c r="G78" i="12"/>
  <c r="G129" i="12"/>
  <c r="G224" i="12"/>
  <c r="I345" i="12"/>
  <c r="I357" i="12"/>
  <c r="G384" i="12"/>
  <c r="G405" i="12"/>
  <c r="G338" i="12"/>
  <c r="I353" i="12"/>
  <c r="I341" i="12"/>
  <c r="G415" i="12"/>
  <c r="G73" i="11"/>
  <c r="G77" i="11"/>
  <c r="G71" i="11"/>
  <c r="G63" i="11"/>
  <c r="D22" i="13"/>
  <c r="D21" i="13"/>
  <c r="H13" i="13"/>
  <c r="H12" i="13"/>
  <c r="E13" i="13"/>
  <c r="E12" i="13"/>
  <c r="F47" i="9"/>
  <c r="F20" i="9"/>
  <c r="F24" i="9"/>
  <c r="G16" i="9"/>
  <c r="F16" i="9"/>
  <c r="C13" i="9"/>
  <c r="D31" i="13"/>
  <c r="C32" i="13"/>
  <c r="C31" i="13"/>
  <c r="C30" i="13"/>
  <c r="C29" i="13"/>
  <c r="F45" i="9" s="1"/>
  <c r="B32" i="13"/>
  <c r="B31" i="13"/>
  <c r="B30" i="13"/>
  <c r="B29" i="13"/>
  <c r="F9" i="9" s="1"/>
  <c r="J19" i="13"/>
  <c r="J18" i="13"/>
  <c r="G19" i="13"/>
  <c r="G18" i="13"/>
  <c r="D19" i="13"/>
  <c r="D18" i="13"/>
  <c r="A26" i="13"/>
  <c r="A25" i="13"/>
  <c r="A24" i="13"/>
  <c r="E28" i="8"/>
  <c r="C28" i="8"/>
  <c r="E37" i="9"/>
  <c r="C37" i="9"/>
  <c r="E11" i="13" l="1"/>
  <c r="D20" i="13"/>
  <c r="F76" i="10" s="1"/>
  <c r="H11" i="13"/>
  <c r="G17" i="13"/>
  <c r="F69" i="9" s="1"/>
  <c r="D17" i="13"/>
  <c r="F56" i="9" s="1"/>
  <c r="J17" i="13"/>
  <c r="I79" i="9" s="1"/>
  <c r="F72" i="10" l="1"/>
  <c r="F68" i="10"/>
  <c r="G72" i="9"/>
  <c r="I75" i="9"/>
  <c r="F19" i="8"/>
  <c r="G15" i="8"/>
  <c r="F15" i="8"/>
  <c r="C12" i="8"/>
  <c r="C24" i="13"/>
  <c r="C25" i="13" s="1"/>
  <c r="C19" i="13"/>
  <c r="C22" i="13" s="1"/>
  <c r="C27" i="13" l="1"/>
  <c r="C26" i="13"/>
  <c r="C20" i="13"/>
  <c r="C21" i="13"/>
  <c r="J16" i="13"/>
  <c r="J15" i="13"/>
  <c r="G16" i="13"/>
  <c r="G15" i="13"/>
  <c r="D16" i="13"/>
  <c r="D15" i="13"/>
  <c r="J13" i="13"/>
  <c r="J12" i="13"/>
  <c r="G13" i="13"/>
  <c r="G12" i="13"/>
  <c r="D13" i="13"/>
  <c r="D12" i="13"/>
  <c r="J11" i="13" l="1"/>
  <c r="F41" i="1" s="1"/>
  <c r="D11" i="13"/>
  <c r="D14" i="13"/>
  <c r="F36" i="8" s="1"/>
  <c r="J14" i="13"/>
  <c r="G46" i="8" s="1"/>
  <c r="G14" i="13"/>
  <c r="F43" i="8" s="1"/>
  <c r="G11" i="13"/>
  <c r="C11" i="13"/>
  <c r="C13" i="13" s="1"/>
  <c r="C12" i="13" l="1"/>
  <c r="D58" i="12" l="1"/>
  <c r="B58" i="12"/>
  <c r="C8" i="10"/>
  <c r="C8" i="9"/>
  <c r="E15" i="9" s="1"/>
  <c r="F28" i="9"/>
  <c r="C8" i="8"/>
  <c r="E54" i="12"/>
  <c r="H381" i="12" s="1"/>
  <c r="C53" i="12"/>
  <c r="D52" i="12"/>
  <c r="G194" i="12" s="1"/>
  <c r="D49" i="12"/>
  <c r="F106" i="12" s="1"/>
  <c r="D50" i="12"/>
  <c r="F120" i="12" s="1"/>
  <c r="D48" i="12"/>
  <c r="F92" i="12" s="1"/>
  <c r="D45" i="12"/>
  <c r="E353" i="12" s="1"/>
  <c r="D44" i="12"/>
  <c r="F118" i="12" s="1"/>
  <c r="D43" i="12"/>
  <c r="F104" i="12" s="1"/>
  <c r="D39" i="12"/>
  <c r="F72" i="12" s="1"/>
  <c r="D40" i="12"/>
  <c r="F73" i="12" s="1"/>
  <c r="D38" i="12"/>
  <c r="F90" i="12" s="1"/>
  <c r="F9" i="12"/>
  <c r="C10" i="12"/>
  <c r="E24" i="12"/>
  <c r="D35" i="14" s="1"/>
  <c r="O36" i="12"/>
  <c r="L34" i="12"/>
  <c r="L33" i="12"/>
  <c r="R27" i="12"/>
  <c r="S27" i="12" s="1"/>
  <c r="M44" i="12" s="1"/>
  <c r="M28" i="12"/>
  <c r="N28" i="12" s="1"/>
  <c r="E21" i="12"/>
  <c r="O35" i="12" s="1"/>
  <c r="D40" i="14" l="1"/>
  <c r="D45" i="14"/>
  <c r="D51" i="14"/>
  <c r="O33" i="12"/>
  <c r="S33" i="12" s="1"/>
  <c r="P38" i="12" s="1"/>
  <c r="N42" i="12" s="1"/>
  <c r="F32" i="13"/>
  <c r="E341" i="12"/>
  <c r="H391" i="12"/>
  <c r="G302" i="12"/>
  <c r="E367" i="12"/>
  <c r="G367" i="12" s="1"/>
  <c r="G272" i="12"/>
  <c r="J328" i="12"/>
  <c r="H422" i="12"/>
  <c r="H408" i="12"/>
  <c r="H415" i="12"/>
  <c r="H405" i="12"/>
  <c r="H398" i="12"/>
  <c r="G242" i="12"/>
  <c r="J367" i="12"/>
  <c r="J357" i="12"/>
  <c r="H384" i="12"/>
  <c r="J345" i="12"/>
  <c r="J371" i="12"/>
  <c r="G262" i="12"/>
  <c r="G232" i="12"/>
  <c r="G282" i="12"/>
  <c r="H338" i="12"/>
  <c r="G353" i="12"/>
  <c r="G252" i="12"/>
  <c r="G292" i="12"/>
  <c r="J341" i="12"/>
  <c r="J353" i="12"/>
  <c r="E311" i="12"/>
  <c r="E319" i="12"/>
  <c r="G319" i="12" s="1"/>
  <c r="G222" i="12"/>
  <c r="H308" i="12"/>
  <c r="J311" i="12"/>
  <c r="E328" i="12"/>
  <c r="G328" i="12" s="1"/>
  <c r="J319" i="12"/>
  <c r="G212" i="12"/>
  <c r="M29" i="12"/>
  <c r="N29" i="12" s="1"/>
  <c r="M41" i="12" s="1"/>
  <c r="G203" i="12"/>
  <c r="G108" i="12"/>
  <c r="F108" i="12"/>
  <c r="G122" i="12"/>
  <c r="O44" i="12"/>
  <c r="E25" i="12" s="1"/>
  <c r="E26" i="12" s="1"/>
  <c r="F71" i="12"/>
  <c r="F122" i="12"/>
  <c r="C9" i="12"/>
  <c r="N12" i="11"/>
  <c r="O12" i="11" s="1"/>
  <c r="P20" i="11"/>
  <c r="M18" i="11"/>
  <c r="M17" i="11"/>
  <c r="C11" i="11"/>
  <c r="F56" i="11" s="1"/>
  <c r="G35" i="13" l="1"/>
  <c r="D405" i="12"/>
  <c r="D381" i="12"/>
  <c r="G357" i="12"/>
  <c r="E357" i="12"/>
  <c r="E371" i="12"/>
  <c r="G371" i="12"/>
  <c r="E427" i="12"/>
  <c r="E422" i="12"/>
  <c r="E413" i="12"/>
  <c r="E426" i="12"/>
  <c r="E408" i="12"/>
  <c r="E405" i="12"/>
  <c r="E419" i="12"/>
  <c r="E420" i="12"/>
  <c r="E415" i="12"/>
  <c r="E402" i="12"/>
  <c r="E403" i="12"/>
  <c r="E398" i="12"/>
  <c r="E395" i="12"/>
  <c r="E396" i="12"/>
  <c r="E391" i="12"/>
  <c r="D359" i="12"/>
  <c r="E384" i="12"/>
  <c r="D373" i="12"/>
  <c r="D369" i="12"/>
  <c r="E381" i="12"/>
  <c r="E377" i="12"/>
  <c r="E389" i="12"/>
  <c r="E378" i="12"/>
  <c r="D343" i="12"/>
  <c r="E351" i="12"/>
  <c r="D347" i="12"/>
  <c r="E363" i="12"/>
  <c r="D355" i="12"/>
  <c r="E364" i="12"/>
  <c r="E81" i="11"/>
  <c r="E77" i="11"/>
  <c r="E75" i="11"/>
  <c r="E83" i="11"/>
  <c r="D338" i="12"/>
  <c r="D308" i="12"/>
  <c r="E79" i="11"/>
  <c r="E338" i="12"/>
  <c r="D321" i="12"/>
  <c r="E326" i="12"/>
  <c r="E317" i="12"/>
  <c r="E335" i="12"/>
  <c r="D330" i="12"/>
  <c r="E325" i="12"/>
  <c r="E334" i="12"/>
  <c r="F287" i="12"/>
  <c r="F277" i="12"/>
  <c r="F297" i="12"/>
  <c r="F267" i="12"/>
  <c r="F257" i="12"/>
  <c r="F247" i="12"/>
  <c r="F66" i="12"/>
  <c r="E187" i="12"/>
  <c r="F177" i="12"/>
  <c r="F168" i="12"/>
  <c r="F159" i="12"/>
  <c r="F150" i="12"/>
  <c r="F132" i="12"/>
  <c r="F141" i="12"/>
  <c r="P37" i="12"/>
  <c r="E308" i="12"/>
  <c r="D313" i="12"/>
  <c r="G311" i="12"/>
  <c r="F187" i="12"/>
  <c r="G66" i="12"/>
  <c r="F94" i="12"/>
  <c r="G94" i="12"/>
  <c r="F34" i="11"/>
  <c r="F54" i="11"/>
  <c r="F38" i="11"/>
  <c r="F58" i="11"/>
  <c r="E73" i="11"/>
  <c r="F36" i="11"/>
  <c r="C10" i="11"/>
  <c r="E17" i="11"/>
  <c r="P19" i="11" s="1"/>
  <c r="P17" i="11"/>
  <c r="T17" i="11" s="1"/>
  <c r="D31" i="11"/>
  <c r="B31" i="11"/>
  <c r="C9" i="11"/>
  <c r="G41" i="10"/>
  <c r="G39" i="10"/>
  <c r="E19" i="10"/>
  <c r="P19" i="10"/>
  <c r="M17" i="10"/>
  <c r="M16" i="10"/>
  <c r="E12" i="10"/>
  <c r="P18" i="10" s="1"/>
  <c r="G37" i="10"/>
  <c r="C22" i="10"/>
  <c r="G68" i="10" s="1"/>
  <c r="C21" i="10"/>
  <c r="C20" i="10"/>
  <c r="E18" i="10"/>
  <c r="E17" i="10"/>
  <c r="P11" i="10"/>
  <c r="Q11" i="10" s="1"/>
  <c r="C15" i="10"/>
  <c r="H37" i="10" s="1"/>
  <c r="E21" i="9"/>
  <c r="F21" i="9"/>
  <c r="M22" i="9"/>
  <c r="N22" i="9" s="1"/>
  <c r="E28" i="9"/>
  <c r="E20" i="9"/>
  <c r="AF67" i="9"/>
  <c r="D37" i="9"/>
  <c r="B37" i="9"/>
  <c r="M32" i="9"/>
  <c r="M31" i="9"/>
  <c r="E23" i="9"/>
  <c r="M11" i="8"/>
  <c r="N11" i="8" s="1"/>
  <c r="K10" i="1"/>
  <c r="L10" i="1" s="1"/>
  <c r="E14" i="8"/>
  <c r="E49" i="8"/>
  <c r="E46" i="8"/>
  <c r="E39" i="8"/>
  <c r="E32" i="8"/>
  <c r="E18" i="8"/>
  <c r="D28" i="8"/>
  <c r="E24" i="8" s="1"/>
  <c r="B28" i="8"/>
  <c r="L31" i="9" l="1"/>
  <c r="L32" i="9"/>
  <c r="L20" i="8"/>
  <c r="N20" i="8" s="1"/>
  <c r="L21" i="8"/>
  <c r="N21" i="8" s="1"/>
  <c r="J19" i="1"/>
  <c r="L19" i="1" s="1"/>
  <c r="C14" i="1" s="1"/>
  <c r="J20" i="1"/>
  <c r="M48" i="18"/>
  <c r="P48" i="18" s="1"/>
  <c r="F31" i="18" s="1"/>
  <c r="F34" i="18" s="1"/>
  <c r="M47" i="18"/>
  <c r="P47" i="18" s="1"/>
  <c r="E31" i="18" s="1"/>
  <c r="P46" i="18"/>
  <c r="D31" i="18" s="1"/>
  <c r="D34" i="18" s="1"/>
  <c r="M42" i="12"/>
  <c r="O42" i="12" s="1"/>
  <c r="G44" i="12" s="1"/>
  <c r="D357" i="12" s="1"/>
  <c r="G359" i="12" s="1"/>
  <c r="P16" i="10"/>
  <c r="T16" i="10" s="1"/>
  <c r="Q21" i="10" s="1"/>
  <c r="O25" i="10" s="1"/>
  <c r="N32" i="9"/>
  <c r="N31" i="9"/>
  <c r="D22" i="8"/>
  <c r="C23" i="8"/>
  <c r="J308" i="12"/>
  <c r="J381" i="12"/>
  <c r="J338" i="12"/>
  <c r="D81" i="9"/>
  <c r="N43" i="12"/>
  <c r="E22" i="11"/>
  <c r="E24" i="11"/>
  <c r="E23" i="11"/>
  <c r="N13" i="11"/>
  <c r="Q22" i="11"/>
  <c r="O26" i="11" s="1"/>
  <c r="P12" i="10"/>
  <c r="G76" i="10"/>
  <c r="H41" i="10"/>
  <c r="H39" i="10"/>
  <c r="G72" i="10"/>
  <c r="E72" i="9"/>
  <c r="F49" i="9"/>
  <c r="G51" i="9" s="1"/>
  <c r="G49" i="9"/>
  <c r="E79" i="9"/>
  <c r="G79" i="9" s="1"/>
  <c r="D77" i="9"/>
  <c r="E59" i="9"/>
  <c r="E75" i="9"/>
  <c r="E41" i="9"/>
  <c r="E85" i="9"/>
  <c r="F18" i="8"/>
  <c r="F14" i="8"/>
  <c r="C19" i="1"/>
  <c r="G41" i="1" s="1"/>
  <c r="C18" i="1"/>
  <c r="C17" i="1"/>
  <c r="E15" i="1"/>
  <c r="E14" i="1"/>
  <c r="G29" i="1"/>
  <c r="C12" i="1"/>
  <c r="H29" i="1" s="1"/>
  <c r="E35" i="13" l="1"/>
  <c r="Q12" i="10"/>
  <c r="F14" i="1"/>
  <c r="D27" i="1" s="1"/>
  <c r="G27" i="1" s="1"/>
  <c r="C208" i="18"/>
  <c r="F210" i="18" s="1"/>
  <c r="H112" i="18"/>
  <c r="H117" i="18"/>
  <c r="E124" i="18" s="1"/>
  <c r="F124" i="18" s="1"/>
  <c r="C212" i="18"/>
  <c r="E161" i="18"/>
  <c r="E162" i="18"/>
  <c r="H161" i="18"/>
  <c r="H163" i="18" s="1"/>
  <c r="E34" i="18"/>
  <c r="E78" i="18"/>
  <c r="E142" i="18"/>
  <c r="H76" i="18"/>
  <c r="E83" i="18" s="1"/>
  <c r="F83" i="18" s="1"/>
  <c r="C185" i="18"/>
  <c r="F187" i="18" s="1"/>
  <c r="E141" i="18"/>
  <c r="H141" i="18"/>
  <c r="H143" i="18" s="1"/>
  <c r="C189" i="18"/>
  <c r="F191" i="18" s="1"/>
  <c r="H71" i="18"/>
  <c r="Q46" i="17"/>
  <c r="D36" i="17" s="1"/>
  <c r="D39" i="17" s="1"/>
  <c r="N47" i="17"/>
  <c r="Q47" i="17" s="1"/>
  <c r="E36" i="17" s="1"/>
  <c r="E39" i="17" s="1"/>
  <c r="N48" i="17"/>
  <c r="Q48" i="17" s="1"/>
  <c r="F36" i="17" s="1"/>
  <c r="G39" i="12"/>
  <c r="D319" i="12" s="1"/>
  <c r="G321" i="12" s="1"/>
  <c r="G49" i="12"/>
  <c r="E228" i="12" s="1"/>
  <c r="H228" i="12" s="1"/>
  <c r="M51" i="14"/>
  <c r="O51" i="14" s="1"/>
  <c r="M52" i="14"/>
  <c r="O52" i="14" s="1"/>
  <c r="O50" i="14"/>
  <c r="M43" i="12"/>
  <c r="O43" i="12" s="1"/>
  <c r="G45" i="12" s="1"/>
  <c r="O41" i="12"/>
  <c r="G43" i="12" s="1"/>
  <c r="I90" i="12" s="1"/>
  <c r="O13" i="11"/>
  <c r="I29" i="1"/>
  <c r="D31" i="1" s="1"/>
  <c r="D353" i="12"/>
  <c r="I104" i="12"/>
  <c r="H227" i="12"/>
  <c r="E227" i="12"/>
  <c r="Q21" i="11"/>
  <c r="O27" i="11" s="1"/>
  <c r="Q20" i="10"/>
  <c r="O26" i="10" s="1"/>
  <c r="G75" i="9"/>
  <c r="C28" i="9"/>
  <c r="G28" i="9" s="1"/>
  <c r="C23" i="9"/>
  <c r="F23" i="9" s="1"/>
  <c r="C20" i="9"/>
  <c r="C15" i="9"/>
  <c r="F15" i="9" s="1"/>
  <c r="G14" i="8"/>
  <c r="H122" i="18" l="1"/>
  <c r="H125" i="18" s="1"/>
  <c r="F35" i="13"/>
  <c r="N25" i="11"/>
  <c r="N27" i="11" s="1"/>
  <c r="P27" i="11" s="1"/>
  <c r="D24" i="11" s="1"/>
  <c r="F24" i="11" s="1"/>
  <c r="N24" i="10"/>
  <c r="P24" i="10" s="1"/>
  <c r="D17" i="10" s="1"/>
  <c r="F17" i="10" s="1"/>
  <c r="D68" i="10" s="1"/>
  <c r="J68" i="10" s="1"/>
  <c r="I70" i="10" s="1"/>
  <c r="N25" i="10"/>
  <c r="P25" i="10" s="1"/>
  <c r="D18" i="10" s="1"/>
  <c r="F18" i="10" s="1"/>
  <c r="E51" i="10" s="1"/>
  <c r="G51" i="10" s="1"/>
  <c r="N26" i="10"/>
  <c r="P26" i="10" s="1"/>
  <c r="D19" i="10" s="1"/>
  <c r="F19" i="10" s="1"/>
  <c r="E53" i="10" s="1"/>
  <c r="G53" i="10" s="1"/>
  <c r="F60" i="10" s="1"/>
  <c r="D64" i="10" s="1"/>
  <c r="E32" i="12"/>
  <c r="D415" i="12" s="1"/>
  <c r="J415" i="12" s="1"/>
  <c r="D34" i="1"/>
  <c r="F34" i="1" s="1"/>
  <c r="E36" i="1" s="1"/>
  <c r="D38" i="1" s="1"/>
  <c r="D22" i="1" s="1"/>
  <c r="H81" i="18"/>
  <c r="H84" i="18" s="1"/>
  <c r="E143" i="18"/>
  <c r="H144" i="18" s="1"/>
  <c r="E163" i="18"/>
  <c r="H164" i="18" s="1"/>
  <c r="C200" i="18"/>
  <c r="C196" i="18"/>
  <c r="F198" i="18" s="1"/>
  <c r="H92" i="18"/>
  <c r="E151" i="18"/>
  <c r="H97" i="18"/>
  <c r="E104" i="18" s="1"/>
  <c r="F104" i="18" s="1"/>
  <c r="H151" i="18"/>
  <c r="H153" i="18" s="1"/>
  <c r="E152" i="18"/>
  <c r="F39" i="17"/>
  <c r="C180" i="17"/>
  <c r="C176" i="17"/>
  <c r="F178" i="17" s="1"/>
  <c r="C165" i="17"/>
  <c r="C169" i="17"/>
  <c r="F171" i="17" s="1"/>
  <c r="E121" i="17"/>
  <c r="H121" i="17"/>
  <c r="E122" i="17"/>
  <c r="E131" i="17"/>
  <c r="H131" i="17"/>
  <c r="E132" i="17"/>
  <c r="H85" i="17"/>
  <c r="H87" i="17"/>
  <c r="E91" i="17" s="1"/>
  <c r="F91" i="17" s="1"/>
  <c r="H73" i="17"/>
  <c r="E77" i="17" s="1"/>
  <c r="F77" i="17" s="1"/>
  <c r="H71" i="17"/>
  <c r="D50" i="14"/>
  <c r="D359" i="14" s="1"/>
  <c r="G361" i="14" s="1"/>
  <c r="E50" i="14"/>
  <c r="D371" i="14" s="1"/>
  <c r="G373" i="14" s="1"/>
  <c r="F50" i="14"/>
  <c r="D385" i="14" s="1"/>
  <c r="G387" i="14" s="1"/>
  <c r="E29" i="12"/>
  <c r="E257" i="12" s="1"/>
  <c r="H257" i="12" s="1"/>
  <c r="H199" i="12"/>
  <c r="E199" i="12"/>
  <c r="I72" i="12"/>
  <c r="I106" i="12"/>
  <c r="I108" i="12" s="1"/>
  <c r="G48" i="12"/>
  <c r="G38" i="12"/>
  <c r="E55" i="14"/>
  <c r="D403" i="14" s="1"/>
  <c r="G405" i="14" s="1"/>
  <c r="E39" i="14"/>
  <c r="E49" i="14"/>
  <c r="D367" i="14" s="1"/>
  <c r="G369" i="14" s="1"/>
  <c r="E44" i="14"/>
  <c r="D336" i="14" s="1"/>
  <c r="G338" i="14" s="1"/>
  <c r="E28" i="14"/>
  <c r="E29" i="14" s="1"/>
  <c r="D297" i="14" s="1"/>
  <c r="J297" i="14" s="1"/>
  <c r="D39" i="14"/>
  <c r="D49" i="14"/>
  <c r="D355" i="14" s="1"/>
  <c r="G357" i="14" s="1"/>
  <c r="D55" i="14"/>
  <c r="D395" i="14" s="1"/>
  <c r="G397" i="14" s="1"/>
  <c r="D44" i="14"/>
  <c r="E25" i="14"/>
  <c r="E26" i="14" s="1"/>
  <c r="D295" i="14" s="1"/>
  <c r="F55" i="14"/>
  <c r="D412" i="14" s="1"/>
  <c r="G414" i="14" s="1"/>
  <c r="E31" i="14"/>
  <c r="E32" i="14" s="1"/>
  <c r="D299" i="14" s="1"/>
  <c r="J299" i="14" s="1"/>
  <c r="F39" i="14"/>
  <c r="F44" i="14"/>
  <c r="D345" i="14" s="1"/>
  <c r="G347" i="14" s="1"/>
  <c r="F49" i="14"/>
  <c r="D381" i="14" s="1"/>
  <c r="G383" i="14" s="1"/>
  <c r="D341" i="12"/>
  <c r="E217" i="12"/>
  <c r="H217" i="12"/>
  <c r="E229" i="12"/>
  <c r="G40" i="12"/>
  <c r="D328" i="12" s="1"/>
  <c r="G330" i="12" s="1"/>
  <c r="G50" i="12"/>
  <c r="E238" i="12" s="1"/>
  <c r="H238" i="12" s="1"/>
  <c r="D371" i="12"/>
  <c r="G373" i="12" s="1"/>
  <c r="D367" i="12"/>
  <c r="G369" i="12" s="1"/>
  <c r="D375" i="12" s="1"/>
  <c r="G355" i="12"/>
  <c r="D361" i="12" s="1"/>
  <c r="I118" i="12"/>
  <c r="H237" i="12"/>
  <c r="E237" i="12"/>
  <c r="H229" i="12"/>
  <c r="G20" i="9"/>
  <c r="C21" i="9"/>
  <c r="J405" i="12"/>
  <c r="G15" i="9"/>
  <c r="D75" i="9"/>
  <c r="D79" i="9"/>
  <c r="E287" i="12" l="1"/>
  <c r="H287" i="12" s="1"/>
  <c r="D417" i="12"/>
  <c r="K419" i="12" s="1"/>
  <c r="H102" i="18"/>
  <c r="H105" i="18" s="1"/>
  <c r="N26" i="11"/>
  <c r="P26" i="11" s="1"/>
  <c r="D23" i="11" s="1"/>
  <c r="F23" i="11" s="1"/>
  <c r="E56" i="11" s="1"/>
  <c r="H56" i="11" s="1"/>
  <c r="F65" i="11" s="1"/>
  <c r="P25" i="11"/>
  <c r="D22" i="11" s="1"/>
  <c r="F22" i="11" s="1"/>
  <c r="E34" i="11" s="1"/>
  <c r="D72" i="10"/>
  <c r="J72" i="10" s="1"/>
  <c r="I74" i="10" s="1"/>
  <c r="D45" i="13" s="1"/>
  <c r="E32" i="10"/>
  <c r="H32" i="10" s="1"/>
  <c r="I39" i="10" s="1"/>
  <c r="D44" i="10" s="1"/>
  <c r="E168" i="12"/>
  <c r="H168" i="12" s="1"/>
  <c r="E153" i="18"/>
  <c r="H154" i="18" s="1"/>
  <c r="K377" i="12"/>
  <c r="K378" i="12"/>
  <c r="K364" i="12"/>
  <c r="K363" i="12"/>
  <c r="H99" i="17"/>
  <c r="C192" i="17"/>
  <c r="C188" i="17"/>
  <c r="F190" i="17" s="1"/>
  <c r="H141" i="17"/>
  <c r="H101" i="17"/>
  <c r="E105" i="17" s="1"/>
  <c r="F105" i="17" s="1"/>
  <c r="E142" i="17"/>
  <c r="E141" i="17"/>
  <c r="G113" i="17"/>
  <c r="C152" i="17"/>
  <c r="I152" i="17" s="1"/>
  <c r="D184" i="17" s="1"/>
  <c r="I185" i="17" s="1"/>
  <c r="E53" i="17" s="1"/>
  <c r="F167" i="17"/>
  <c r="E248" i="14"/>
  <c r="I130" i="14"/>
  <c r="F134" i="14" s="1"/>
  <c r="G134" i="14" s="1"/>
  <c r="H248" i="14"/>
  <c r="H258" i="14"/>
  <c r="I144" i="14"/>
  <c r="E258" i="14"/>
  <c r="I116" i="14"/>
  <c r="F148" i="14" s="1"/>
  <c r="G148" i="14" s="1"/>
  <c r="E238" i="14"/>
  <c r="H238" i="14"/>
  <c r="D407" i="14"/>
  <c r="D340" i="14"/>
  <c r="D375" i="14"/>
  <c r="D416" i="14"/>
  <c r="D349" i="14"/>
  <c r="D389" i="14"/>
  <c r="I158" i="14"/>
  <c r="E276" i="14"/>
  <c r="H276" i="14"/>
  <c r="I159" i="14"/>
  <c r="E285" i="14"/>
  <c r="H285" i="14"/>
  <c r="I114" i="14"/>
  <c r="E237" i="14"/>
  <c r="H237" i="14"/>
  <c r="I157" i="14"/>
  <c r="E267" i="14"/>
  <c r="H267" i="14"/>
  <c r="I128" i="14"/>
  <c r="E247" i="14"/>
  <c r="E249" i="14" s="1"/>
  <c r="H247" i="14"/>
  <c r="I142" i="14"/>
  <c r="E257" i="14"/>
  <c r="H257" i="14"/>
  <c r="D328" i="14"/>
  <c r="G330" i="14" s="1"/>
  <c r="F120" i="14"/>
  <c r="G120" i="14" s="1"/>
  <c r="E183" i="14"/>
  <c r="H183" i="14"/>
  <c r="I97" i="14"/>
  <c r="H228" i="14"/>
  <c r="E228" i="14"/>
  <c r="F71" i="14"/>
  <c r="I71" i="14" s="1"/>
  <c r="E180" i="14"/>
  <c r="H180" i="14" s="1"/>
  <c r="I95" i="14"/>
  <c r="E210" i="14"/>
  <c r="H210" i="14"/>
  <c r="I96" i="14"/>
  <c r="E219" i="14"/>
  <c r="H219" i="14"/>
  <c r="E201" i="14"/>
  <c r="H201" i="14"/>
  <c r="F69" i="14"/>
  <c r="E178" i="14"/>
  <c r="H178" i="14" s="1"/>
  <c r="E192" i="14"/>
  <c r="H192" i="14"/>
  <c r="D391" i="12"/>
  <c r="J391" i="12" s="1"/>
  <c r="D393" i="12" s="1"/>
  <c r="E141" i="12"/>
  <c r="H141" i="12" s="1"/>
  <c r="I77" i="14"/>
  <c r="D309" i="14"/>
  <c r="D345" i="12"/>
  <c r="E218" i="12"/>
  <c r="H218" i="12" s="1"/>
  <c r="H219" i="12" s="1"/>
  <c r="I92" i="12"/>
  <c r="I94" i="12" s="1"/>
  <c r="D311" i="12"/>
  <c r="G313" i="12" s="1"/>
  <c r="E28" i="12"/>
  <c r="E190" i="12"/>
  <c r="H190" i="12"/>
  <c r="I71" i="12"/>
  <c r="E31" i="12"/>
  <c r="I76" i="14"/>
  <c r="D301" i="14"/>
  <c r="I78" i="14"/>
  <c r="D318" i="14"/>
  <c r="G320" i="14" s="1"/>
  <c r="D322" i="14" s="1"/>
  <c r="J295" i="14"/>
  <c r="D399" i="14" s="1"/>
  <c r="K401" i="14" s="1"/>
  <c r="O70" i="14" s="1"/>
  <c r="F67" i="14"/>
  <c r="I67" i="14" s="1"/>
  <c r="E176" i="14"/>
  <c r="H176" i="14" s="1"/>
  <c r="H208" i="12"/>
  <c r="J229" i="12"/>
  <c r="I73" i="12"/>
  <c r="E33" i="12"/>
  <c r="D422" i="12" s="1"/>
  <c r="J422" i="12" s="1"/>
  <c r="D424" i="12" s="1"/>
  <c r="E30" i="12"/>
  <c r="D398" i="12" s="1"/>
  <c r="J398" i="12" s="1"/>
  <c r="D400" i="12" s="1"/>
  <c r="E208" i="12"/>
  <c r="I120" i="12"/>
  <c r="I122" i="12" s="1"/>
  <c r="C43" i="13"/>
  <c r="D43" i="13"/>
  <c r="F58" i="10"/>
  <c r="D63" i="10" s="1"/>
  <c r="Q12" i="13" s="1"/>
  <c r="D44" i="13"/>
  <c r="C44" i="13"/>
  <c r="H62" i="9"/>
  <c r="E63" i="9"/>
  <c r="H63" i="9" s="1"/>
  <c r="I45" i="9"/>
  <c r="E62" i="9"/>
  <c r="I47" i="9"/>
  <c r="F51" i="9" s="1"/>
  <c r="H239" i="12"/>
  <c r="D81" i="11"/>
  <c r="E38" i="11"/>
  <c r="H38" i="11" s="1"/>
  <c r="E58" i="11"/>
  <c r="H58" i="11" s="1"/>
  <c r="F69" i="11" s="1"/>
  <c r="E49" i="10"/>
  <c r="G49" i="10" s="1"/>
  <c r="E30" i="10"/>
  <c r="H30" i="10" s="1"/>
  <c r="E239" i="12"/>
  <c r="H187" i="12"/>
  <c r="D76" i="10"/>
  <c r="J76" i="10" s="1"/>
  <c r="I78" i="10" s="1"/>
  <c r="E34" i="10"/>
  <c r="H34" i="10" s="1"/>
  <c r="I41" i="10" s="1"/>
  <c r="H46" i="8"/>
  <c r="F20" i="8"/>
  <c r="D46" i="8" s="1"/>
  <c r="L378" i="12" l="1"/>
  <c r="N54" i="12" s="1"/>
  <c r="K420" i="12"/>
  <c r="L420" i="12" s="1"/>
  <c r="M60" i="12" s="1"/>
  <c r="D77" i="11"/>
  <c r="E36" i="11"/>
  <c r="H36" i="11" s="1"/>
  <c r="D73" i="11"/>
  <c r="E54" i="11"/>
  <c r="Q10" i="13"/>
  <c r="L364" i="12"/>
  <c r="M54" i="12" s="1"/>
  <c r="K426" i="12"/>
  <c r="L427" i="12" s="1"/>
  <c r="N60" i="12" s="1"/>
  <c r="K427" i="12"/>
  <c r="K403" i="12"/>
  <c r="K402" i="12"/>
  <c r="K395" i="12"/>
  <c r="K396" i="12"/>
  <c r="K391" i="14"/>
  <c r="L392" i="14" s="1"/>
  <c r="Q67" i="14" s="1"/>
  <c r="K392" i="14"/>
  <c r="K410" i="14"/>
  <c r="K409" i="14"/>
  <c r="L410" i="14" s="1"/>
  <c r="P70" i="14" s="1"/>
  <c r="K342" i="14"/>
  <c r="L343" i="14" s="1"/>
  <c r="P64" i="14" s="1"/>
  <c r="K343" i="14"/>
  <c r="K377" i="14"/>
  <c r="L378" i="14" s="1"/>
  <c r="P67" i="14" s="1"/>
  <c r="K378" i="14"/>
  <c r="K351" i="14"/>
  <c r="L352" i="14" s="1"/>
  <c r="Q64" i="14" s="1"/>
  <c r="K352" i="14"/>
  <c r="K418" i="14"/>
  <c r="L419" i="14" s="1"/>
  <c r="Q70" i="14" s="1"/>
  <c r="K419" i="14"/>
  <c r="K324" i="14"/>
  <c r="L325" i="14" s="1"/>
  <c r="Q61" i="14" s="1"/>
  <c r="K325" i="14"/>
  <c r="D196" i="17"/>
  <c r="I197" i="17" s="1"/>
  <c r="F53" i="17" s="1"/>
  <c r="D173" i="17"/>
  <c r="I174" i="17" s="1"/>
  <c r="D53" i="17" s="1"/>
  <c r="H103" i="17"/>
  <c r="H133" i="17"/>
  <c r="E143" i="17"/>
  <c r="H123" i="17"/>
  <c r="H89" i="17"/>
  <c r="E123" i="17"/>
  <c r="E133" i="17"/>
  <c r="H75" i="17"/>
  <c r="H143" i="17"/>
  <c r="I100" i="14"/>
  <c r="E109" i="14" s="1"/>
  <c r="K111" i="14" s="1"/>
  <c r="Q62" i="14" s="1"/>
  <c r="D363" i="14"/>
  <c r="K365" i="14" s="1"/>
  <c r="O67" i="14" s="1"/>
  <c r="D332" i="14"/>
  <c r="K334" i="14" s="1"/>
  <c r="O64" i="14" s="1"/>
  <c r="G303" i="14"/>
  <c r="D305" i="14" s="1"/>
  <c r="K307" i="14" s="1"/>
  <c r="O61" i="14" s="1"/>
  <c r="I69" i="14"/>
  <c r="I80" i="14" s="1"/>
  <c r="E86" i="14" s="1"/>
  <c r="K88" i="14" s="1"/>
  <c r="P59" i="14" s="1"/>
  <c r="G311" i="14"/>
  <c r="D313" i="14" s="1"/>
  <c r="D287" i="14"/>
  <c r="F289" i="14" s="1"/>
  <c r="H289" i="14" s="1"/>
  <c r="K292" i="14" s="1"/>
  <c r="Q69" i="14" s="1"/>
  <c r="D269" i="14"/>
  <c r="F271" i="14" s="1"/>
  <c r="H271" i="14" s="1"/>
  <c r="K274" i="14" s="1"/>
  <c r="O69" i="14" s="1"/>
  <c r="D278" i="14"/>
  <c r="F280" i="14" s="1"/>
  <c r="H280" i="14" s="1"/>
  <c r="K283" i="14" s="1"/>
  <c r="P69" i="14" s="1"/>
  <c r="D221" i="14"/>
  <c r="D194" i="14"/>
  <c r="I81" i="14"/>
  <c r="E90" i="14" s="1"/>
  <c r="K92" i="14" s="1"/>
  <c r="Q59" i="14" s="1"/>
  <c r="I162" i="14"/>
  <c r="E171" i="14" s="1"/>
  <c r="K173" i="14" s="1"/>
  <c r="Q68" i="14" s="1"/>
  <c r="D230" i="14"/>
  <c r="F232" i="14" s="1"/>
  <c r="H232" i="14" s="1"/>
  <c r="K235" i="14" s="1"/>
  <c r="Q63" i="14" s="1"/>
  <c r="D203" i="14"/>
  <c r="F205" i="14" s="1"/>
  <c r="H205" i="14" s="1"/>
  <c r="K208" i="14" s="1"/>
  <c r="Q60" i="14" s="1"/>
  <c r="D212" i="14"/>
  <c r="F214" i="14" s="1"/>
  <c r="H214" i="14" s="1"/>
  <c r="K217" i="14" s="1"/>
  <c r="O63" i="14" s="1"/>
  <c r="H239" i="14"/>
  <c r="I98" i="14"/>
  <c r="E101" i="14" s="1"/>
  <c r="K103" i="14" s="1"/>
  <c r="O62" i="14" s="1"/>
  <c r="I160" i="14"/>
  <c r="E163" i="14" s="1"/>
  <c r="K165" i="14" s="1"/>
  <c r="O68" i="14" s="1"/>
  <c r="E219" i="12"/>
  <c r="J219" i="12" s="1"/>
  <c r="D220" i="12" s="1"/>
  <c r="H29" i="13" s="1"/>
  <c r="F96" i="12"/>
  <c r="H249" i="14"/>
  <c r="J249" i="14" s="1"/>
  <c r="E239" i="14"/>
  <c r="H259" i="14"/>
  <c r="D185" i="14"/>
  <c r="F187" i="14" s="1"/>
  <c r="H187" i="14" s="1"/>
  <c r="K190" i="14" s="1"/>
  <c r="O60" i="14" s="1"/>
  <c r="I146" i="14"/>
  <c r="F124" i="12"/>
  <c r="G124" i="12" s="1"/>
  <c r="F110" i="12"/>
  <c r="I79" i="14"/>
  <c r="E82" i="14" s="1"/>
  <c r="K84" i="14" s="1"/>
  <c r="O59" i="14" s="1"/>
  <c r="E259" i="14"/>
  <c r="D408" i="12"/>
  <c r="J408" i="12" s="1"/>
  <c r="D411" i="12" s="1"/>
  <c r="K413" i="12" s="1"/>
  <c r="L60" i="12" s="1"/>
  <c r="E277" i="12"/>
  <c r="H277" i="12" s="1"/>
  <c r="D280" i="12" s="1"/>
  <c r="E159" i="12"/>
  <c r="H159" i="12" s="1"/>
  <c r="D384" i="12"/>
  <c r="J384" i="12" s="1"/>
  <c r="D387" i="12" s="1"/>
  <c r="K389" i="12" s="1"/>
  <c r="L57" i="12" s="1"/>
  <c r="E247" i="12"/>
  <c r="H247" i="12" s="1"/>
  <c r="D250" i="12" s="1"/>
  <c r="E132" i="12"/>
  <c r="H132" i="12" s="1"/>
  <c r="E177" i="12"/>
  <c r="H177" i="12" s="1"/>
  <c r="E150" i="12"/>
  <c r="H150" i="12" s="1"/>
  <c r="E267" i="12"/>
  <c r="H267" i="12" s="1"/>
  <c r="D270" i="12" s="1"/>
  <c r="F272" i="12" s="1"/>
  <c r="H272" i="12" s="1"/>
  <c r="E297" i="12"/>
  <c r="H297" i="12" s="1"/>
  <c r="D300" i="12" s="1"/>
  <c r="F302" i="12" s="1"/>
  <c r="H302" i="12" s="1"/>
  <c r="Q9" i="13"/>
  <c r="D42" i="13"/>
  <c r="I37" i="10"/>
  <c r="D43" i="10" s="1"/>
  <c r="F56" i="10"/>
  <c r="D62" i="10" s="1"/>
  <c r="Q11" i="13" s="1"/>
  <c r="C46" i="13"/>
  <c r="C48" i="13" s="1"/>
  <c r="D48" i="13"/>
  <c r="D26" i="10" s="1"/>
  <c r="Q8" i="13"/>
  <c r="D39" i="13"/>
  <c r="H64" i="9"/>
  <c r="E64" i="9"/>
  <c r="I51" i="9"/>
  <c r="I49" i="9"/>
  <c r="J239" i="12"/>
  <c r="D240" i="12" s="1"/>
  <c r="D45" i="10"/>
  <c r="D290" i="12"/>
  <c r="D260" i="12"/>
  <c r="F232" i="12"/>
  <c r="H232" i="12" s="1"/>
  <c r="D230" i="12"/>
  <c r="D201" i="12"/>
  <c r="D210" i="12"/>
  <c r="F212" i="12" s="1"/>
  <c r="H212" i="12" s="1"/>
  <c r="D192" i="12"/>
  <c r="I66" i="12"/>
  <c r="H54" i="11"/>
  <c r="H34" i="11"/>
  <c r="J46" i="8"/>
  <c r="K51" i="8" s="1"/>
  <c r="I30" i="8" s="1"/>
  <c r="G16" i="8"/>
  <c r="D39" i="8" s="1"/>
  <c r="F41" i="8"/>
  <c r="L403" i="12" l="1"/>
  <c r="N57" i="12" s="1"/>
  <c r="F196" i="14"/>
  <c r="H196" i="14" s="1"/>
  <c r="K199" i="14" s="1"/>
  <c r="P60" i="14" s="1"/>
  <c r="F63" i="14"/>
  <c r="L396" i="12"/>
  <c r="M57" i="12" s="1"/>
  <c r="K315" i="14"/>
  <c r="L316" i="14" s="1"/>
  <c r="P61" i="14" s="1"/>
  <c r="K316" i="14"/>
  <c r="G96" i="12"/>
  <c r="I96" i="12" s="1"/>
  <c r="K95" i="12" s="1"/>
  <c r="E97" i="12" s="1"/>
  <c r="G99" i="12" s="1"/>
  <c r="H134" i="17"/>
  <c r="D134" i="17" s="1"/>
  <c r="H124" i="17"/>
  <c r="H144" i="17"/>
  <c r="H78" i="17"/>
  <c r="H92" i="17"/>
  <c r="H106" i="17"/>
  <c r="D106" i="17" s="1"/>
  <c r="I161" i="14"/>
  <c r="E167" i="14" s="1"/>
  <c r="K169" i="14" s="1"/>
  <c r="P68" i="14" s="1"/>
  <c r="I99" i="14"/>
  <c r="E105" i="14" s="1"/>
  <c r="K107" i="14" s="1"/>
  <c r="P62" i="14" s="1"/>
  <c r="D250" i="14"/>
  <c r="F252" i="14" s="1"/>
  <c r="H252" i="14" s="1"/>
  <c r="K255" i="14" s="1"/>
  <c r="P66" i="14" s="1"/>
  <c r="F223" i="14"/>
  <c r="H223" i="14" s="1"/>
  <c r="K226" i="14" s="1"/>
  <c r="P63" i="14" s="1"/>
  <c r="J239" i="14"/>
  <c r="D240" i="14" s="1"/>
  <c r="F242" i="14" s="1"/>
  <c r="J259" i="14"/>
  <c r="I124" i="12"/>
  <c r="K123" i="12" s="1"/>
  <c r="E125" i="12" s="1"/>
  <c r="G127" i="12" s="1"/>
  <c r="G110" i="12"/>
  <c r="I110" i="12" s="1"/>
  <c r="K109" i="12" s="1"/>
  <c r="E111" i="12" s="1"/>
  <c r="G113" i="12" s="1"/>
  <c r="F203" i="12"/>
  <c r="H203" i="12" s="1"/>
  <c r="K28" i="13"/>
  <c r="I28" i="13"/>
  <c r="J28" i="13"/>
  <c r="F262" i="12"/>
  <c r="H262" i="12" s="1"/>
  <c r="K30" i="13"/>
  <c r="I30" i="13"/>
  <c r="J30" i="13"/>
  <c r="F194" i="12"/>
  <c r="H194" i="12" s="1"/>
  <c r="H28" i="13"/>
  <c r="K29" i="13"/>
  <c r="I29" i="13"/>
  <c r="J29" i="13"/>
  <c r="F292" i="12"/>
  <c r="H292" i="12" s="1"/>
  <c r="K31" i="13"/>
  <c r="I31" i="13"/>
  <c r="J31" i="13"/>
  <c r="F252" i="12"/>
  <c r="H252" i="12" s="1"/>
  <c r="H30" i="13"/>
  <c r="F282" i="12"/>
  <c r="H282" i="12" s="1"/>
  <c r="H31" i="13"/>
  <c r="D38" i="13"/>
  <c r="C38" i="13"/>
  <c r="C41" i="13"/>
  <c r="D41" i="13"/>
  <c r="D40" i="13"/>
  <c r="C40" i="13"/>
  <c r="F242" i="12"/>
  <c r="H242" i="12" s="1"/>
  <c r="F61" i="11"/>
  <c r="F31" i="11"/>
  <c r="G26" i="10"/>
  <c r="D323" i="12"/>
  <c r="D315" i="12"/>
  <c r="K317" i="12" s="1"/>
  <c r="L51" i="12" s="1"/>
  <c r="D332" i="12"/>
  <c r="H294" i="12"/>
  <c r="I294" i="12" s="1"/>
  <c r="F284" i="12"/>
  <c r="F304" i="12"/>
  <c r="H304" i="12"/>
  <c r="I304" i="12" s="1"/>
  <c r="K305" i="12" s="1"/>
  <c r="N59" i="12" s="1"/>
  <c r="F294" i="12"/>
  <c r="H284" i="12"/>
  <c r="I284" i="12" s="1"/>
  <c r="K285" i="12" s="1"/>
  <c r="L59" i="12" s="1"/>
  <c r="H274" i="12"/>
  <c r="I274" i="12" s="1"/>
  <c r="K275" i="12" s="1"/>
  <c r="N56" i="12" s="1"/>
  <c r="F264" i="12"/>
  <c r="H264" i="12"/>
  <c r="I264" i="12" s="1"/>
  <c r="F254" i="12"/>
  <c r="H254" i="12"/>
  <c r="I254" i="12" s="1"/>
  <c r="F274" i="12"/>
  <c r="I244" i="12"/>
  <c r="H234" i="12"/>
  <c r="F234" i="12"/>
  <c r="F244" i="12"/>
  <c r="I234" i="12"/>
  <c r="K235" i="12" s="1"/>
  <c r="M53" i="12" s="1"/>
  <c r="H244" i="12"/>
  <c r="F214" i="12"/>
  <c r="F205" i="12"/>
  <c r="H205" i="12"/>
  <c r="I205" i="12" s="1"/>
  <c r="H214" i="12"/>
  <c r="I214" i="12" s="1"/>
  <c r="K215" i="12" s="1"/>
  <c r="N50" i="12" s="1"/>
  <c r="F101" i="12"/>
  <c r="H82" i="12"/>
  <c r="I82" i="12" s="1"/>
  <c r="H78" i="12"/>
  <c r="I78" i="12" s="1"/>
  <c r="F86" i="12"/>
  <c r="F78" i="12"/>
  <c r="H86" i="12"/>
  <c r="I86" i="12" s="1"/>
  <c r="F82" i="12"/>
  <c r="I75" i="12"/>
  <c r="F224" i="12"/>
  <c r="H224" i="12"/>
  <c r="F196" i="12"/>
  <c r="H196" i="12"/>
  <c r="I76" i="12"/>
  <c r="E85" i="12" s="1"/>
  <c r="E161" i="12"/>
  <c r="G163" i="12" s="1"/>
  <c r="E179" i="12"/>
  <c r="G181" i="12" s="1"/>
  <c r="E170" i="12"/>
  <c r="G172" i="12" s="1"/>
  <c r="F183" i="12"/>
  <c r="H174" i="12"/>
  <c r="I174" i="12" s="1"/>
  <c r="H183" i="12"/>
  <c r="I183" i="12" s="1"/>
  <c r="F174" i="12"/>
  <c r="F165" i="12"/>
  <c r="H165" i="12"/>
  <c r="I165" i="12" s="1"/>
  <c r="H156" i="12"/>
  <c r="I156" i="12" s="1"/>
  <c r="F147" i="12"/>
  <c r="H138" i="12"/>
  <c r="I138" i="12" s="1"/>
  <c r="F156" i="12"/>
  <c r="H147" i="12"/>
  <c r="I147" i="12" s="1"/>
  <c r="F138" i="12"/>
  <c r="E143" i="12"/>
  <c r="G145" i="12" s="1"/>
  <c r="E134" i="12"/>
  <c r="G136" i="12" s="1"/>
  <c r="E152" i="12"/>
  <c r="G154" i="12" s="1"/>
  <c r="I224" i="12"/>
  <c r="I74" i="12"/>
  <c r="E77" i="12" s="1"/>
  <c r="H101" i="12"/>
  <c r="I101" i="12" s="1"/>
  <c r="K102" i="12" s="1"/>
  <c r="L52" i="12" s="1"/>
  <c r="H115" i="12"/>
  <c r="I115" i="12" s="1"/>
  <c r="H129" i="12"/>
  <c r="I129" i="12" s="1"/>
  <c r="F129" i="12"/>
  <c r="F115" i="12"/>
  <c r="F222" i="12"/>
  <c r="G17" i="9"/>
  <c r="D59" i="9" s="1"/>
  <c r="G59" i="9" s="1"/>
  <c r="G39" i="8"/>
  <c r="AD41" i="8"/>
  <c r="K184" i="12" l="1"/>
  <c r="N58" i="12" s="1"/>
  <c r="K139" i="12"/>
  <c r="L55" i="12" s="1"/>
  <c r="K130" i="12"/>
  <c r="N52" i="12" s="1"/>
  <c r="K255" i="12"/>
  <c r="L56" i="12" s="1"/>
  <c r="K166" i="12"/>
  <c r="L58" i="12" s="1"/>
  <c r="K295" i="12"/>
  <c r="M59" i="12" s="1"/>
  <c r="K325" i="12"/>
  <c r="K326" i="12"/>
  <c r="K335" i="12"/>
  <c r="K334" i="12"/>
  <c r="K175" i="12"/>
  <c r="M58" i="12" s="1"/>
  <c r="K87" i="12"/>
  <c r="N49" i="12" s="1"/>
  <c r="K116" i="12"/>
  <c r="M52" i="12" s="1"/>
  <c r="K148" i="12"/>
  <c r="M55" i="12" s="1"/>
  <c r="K157" i="12"/>
  <c r="N55" i="12" s="1"/>
  <c r="K79" i="12"/>
  <c r="L49" i="12" s="1"/>
  <c r="K206" i="12"/>
  <c r="M50" i="12" s="1"/>
  <c r="K245" i="12"/>
  <c r="N53" i="12" s="1"/>
  <c r="K265" i="12"/>
  <c r="M56" i="12" s="1"/>
  <c r="F136" i="17"/>
  <c r="H136" i="17" s="1"/>
  <c r="I139" i="17" s="1"/>
  <c r="E52" i="17" s="1"/>
  <c r="E345" i="12"/>
  <c r="G345" i="12"/>
  <c r="D124" i="17"/>
  <c r="F126" i="17" s="1"/>
  <c r="H126" i="17" s="1"/>
  <c r="I129" i="17" s="1"/>
  <c r="D52" i="17" s="1"/>
  <c r="D144" i="17"/>
  <c r="F146" i="17" s="1"/>
  <c r="H146" i="17" s="1"/>
  <c r="I149" i="17" s="1"/>
  <c r="F52" i="17" s="1"/>
  <c r="D92" i="17"/>
  <c r="F94" i="17" s="1"/>
  <c r="I97" i="17" s="1"/>
  <c r="E51" i="17" s="1"/>
  <c r="F108" i="17"/>
  <c r="I111" i="17" s="1"/>
  <c r="F51" i="17" s="1"/>
  <c r="D78" i="17"/>
  <c r="F80" i="17" s="1"/>
  <c r="I83" i="17" s="1"/>
  <c r="D51" i="17" s="1"/>
  <c r="D260" i="14"/>
  <c r="F262" i="14" s="1"/>
  <c r="H262" i="14" s="1"/>
  <c r="K265" i="14" s="1"/>
  <c r="Q66" i="14" s="1"/>
  <c r="H242" i="14"/>
  <c r="K245" i="14" s="1"/>
  <c r="O66" i="14" s="1"/>
  <c r="F58" i="12"/>
  <c r="D47" i="13"/>
  <c r="C47" i="13"/>
  <c r="D65" i="9"/>
  <c r="F37" i="9" s="1"/>
  <c r="E81" i="12"/>
  <c r="K83" i="12" s="1"/>
  <c r="M49" i="12" s="1"/>
  <c r="E27" i="11"/>
  <c r="G341" i="12"/>
  <c r="I196" i="12"/>
  <c r="K197" i="12" s="1"/>
  <c r="L50" i="12" s="1"/>
  <c r="H222" i="12"/>
  <c r="K225" i="12" s="1"/>
  <c r="L53" i="12" s="1"/>
  <c r="E67" i="9"/>
  <c r="E41" i="8"/>
  <c r="G41" i="8" s="1"/>
  <c r="K44" i="8" s="1"/>
  <c r="I29" i="8" s="1"/>
  <c r="F28" i="8"/>
  <c r="F48" i="17" l="1"/>
  <c r="D25" i="10"/>
  <c r="G25" i="10" s="1"/>
  <c r="L326" i="12"/>
  <c r="M51" i="12" s="1"/>
  <c r="L335" i="12"/>
  <c r="N51" i="12" s="1"/>
  <c r="G347" i="12"/>
  <c r="H81" i="11"/>
  <c r="J81" i="11" s="1"/>
  <c r="L83" i="11" s="1"/>
  <c r="L32" i="11" s="1"/>
  <c r="H77" i="11"/>
  <c r="J77" i="11" s="1"/>
  <c r="L79" i="11" s="1"/>
  <c r="K32" i="11" s="1"/>
  <c r="E26" i="11"/>
  <c r="E25" i="11"/>
  <c r="H73" i="11"/>
  <c r="J73" i="11" s="1"/>
  <c r="L75" i="11" s="1"/>
  <c r="J32" i="11" s="1"/>
  <c r="G343" i="12"/>
  <c r="D349" i="12" s="1"/>
  <c r="K351" i="12" s="1"/>
  <c r="L54" i="12" s="1"/>
  <c r="G36" i="8" l="1"/>
  <c r="H36" i="8" s="1"/>
  <c r="E36" i="8"/>
  <c r="F16" i="8"/>
  <c r="D32" i="8" s="1"/>
  <c r="G32" i="8" s="1"/>
  <c r="F34" i="8" l="1"/>
  <c r="K37" i="8" s="1"/>
  <c r="I28" i="8" s="1"/>
  <c r="D31" i="9" l="1"/>
  <c r="F67" i="9" s="1"/>
  <c r="G67" i="9" s="1"/>
  <c r="C32" i="9"/>
  <c r="F17" i="9"/>
  <c r="D41" i="9" s="1"/>
  <c r="G41" i="9" s="1"/>
  <c r="E52" i="9" s="1"/>
  <c r="H69" i="9" l="1"/>
  <c r="K70" i="9" s="1"/>
  <c r="I38" i="9" s="1"/>
  <c r="G69" i="9"/>
  <c r="E69" i="9"/>
  <c r="F54" i="9"/>
  <c r="E56" i="9"/>
  <c r="G56" i="9"/>
  <c r="H56" i="9" s="1"/>
  <c r="G21" i="9"/>
  <c r="K57" i="9" l="1"/>
  <c r="I37" i="9" s="1"/>
  <c r="F25" i="9"/>
  <c r="D72" i="9" s="1"/>
  <c r="E7" i="9" l="1"/>
  <c r="E33" i="9" l="1"/>
  <c r="J79" i="9" s="1"/>
  <c r="G81" i="9" s="1"/>
  <c r="H72" i="9" l="1"/>
  <c r="J72" i="9" s="1"/>
  <c r="J75" i="9"/>
  <c r="G77" i="9" s="1"/>
  <c r="D83" i="9" l="1"/>
  <c r="K86" i="9" s="1"/>
  <c r="I39" i="9" s="1"/>
  <c r="L20" i="1" l="1"/>
  <c r="C15" i="1" s="1"/>
  <c r="F15" i="1" s="1"/>
  <c r="D41" i="1" s="1"/>
  <c r="J41" i="1" s="1"/>
  <c r="I43" i="1" s="1"/>
  <c r="D23" i="1" s="1"/>
  <c r="C27" i="11"/>
  <c r="C26" i="11"/>
  <c r="G45" i="11" s="1"/>
  <c r="C25" i="11"/>
  <c r="G65" i="11" s="1"/>
  <c r="H65" i="11" s="1"/>
  <c r="L67" i="11" s="1"/>
  <c r="K31" i="11" s="1"/>
  <c r="C19" i="11"/>
  <c r="G51" i="11" s="1"/>
  <c r="C31" i="11"/>
  <c r="G41" i="11" l="1"/>
  <c r="G49" i="11"/>
  <c r="I51" i="11"/>
  <c r="J51" i="11" s="1"/>
  <c r="G43" i="11"/>
  <c r="G47" i="11"/>
  <c r="G69" i="11"/>
  <c r="H69" i="11" s="1"/>
  <c r="L71" i="11" s="1"/>
  <c r="L31" i="11" s="1"/>
  <c r="G61" i="11"/>
  <c r="H61" i="11" s="1"/>
  <c r="L63" i="11" s="1"/>
  <c r="J31" i="11" s="1"/>
  <c r="I43" i="11"/>
  <c r="J43" i="11" s="1"/>
  <c r="I47" i="11"/>
  <c r="J47" i="11" s="1"/>
  <c r="L48" i="11" s="1"/>
  <c r="K30" i="11" s="1"/>
  <c r="I132" i="14"/>
  <c r="I118" i="14"/>
  <c r="L44" i="11" l="1"/>
  <c r="J30" i="11" s="1"/>
  <c r="L52" i="11"/>
  <c r="L30" i="11" s="1"/>
  <c r="I148" i="14"/>
  <c r="K147" i="14" s="1"/>
  <c r="I120" i="14"/>
  <c r="K119" i="14" s="1"/>
  <c r="E121" i="14" s="1"/>
  <c r="G123" i="14" s="1"/>
  <c r="K126" i="14" s="1"/>
  <c r="O65" i="14" s="1"/>
  <c r="E149" i="14" l="1"/>
  <c r="G151" i="14" s="1"/>
  <c r="K154" i="14" s="1"/>
  <c r="Q65" i="14" s="1"/>
  <c r="I134" i="14"/>
  <c r="K133" i="14" s="1"/>
  <c r="E135" i="14" l="1"/>
  <c r="G137" i="14" s="1"/>
  <c r="K140" i="14" s="1"/>
  <c r="P65" i="14" s="1"/>
  <c r="C41" i="18"/>
  <c r="D40" i="18"/>
  <c r="G156" i="18" s="1"/>
  <c r="C14" i="18"/>
  <c r="G168" i="18" s="1"/>
  <c r="E23" i="18"/>
  <c r="E25" i="18" s="1"/>
  <c r="C172" i="18" s="1"/>
  <c r="I172" i="18" s="1"/>
  <c r="D216" i="18" l="1"/>
  <c r="I217" i="18" s="1"/>
  <c r="F51" i="18" s="1"/>
  <c r="D193" i="18"/>
  <c r="I194" i="18" s="1"/>
  <c r="D51" i="18" s="1"/>
  <c r="D204" i="18"/>
  <c r="I205" i="18" s="1"/>
  <c r="E51" i="18" s="1"/>
  <c r="G166" i="18"/>
  <c r="E168" i="18"/>
  <c r="G109" i="18"/>
  <c r="H109" i="18" s="1"/>
  <c r="G89" i="18"/>
  <c r="H89" i="18" s="1"/>
  <c r="H158" i="18"/>
  <c r="H148" i="18"/>
  <c r="D133" i="18"/>
  <c r="G133" i="18" s="1"/>
  <c r="D57" i="18"/>
  <c r="G57" i="18" s="1"/>
  <c r="G130" i="18"/>
  <c r="H130" i="18" s="1"/>
  <c r="G146" i="18"/>
  <c r="E89" i="18"/>
  <c r="E158" i="18"/>
  <c r="E148" i="18"/>
  <c r="H168" i="18"/>
  <c r="E109" i="18"/>
  <c r="G158" i="18"/>
  <c r="E130" i="18"/>
  <c r="G148" i="18"/>
  <c r="D105" i="18" l="1"/>
  <c r="F107" i="18" s="1"/>
  <c r="I110" i="18" s="1"/>
  <c r="E49" i="18" s="1"/>
  <c r="D125" i="18"/>
  <c r="F128" i="18" s="1"/>
  <c r="I131" i="18" s="1"/>
  <c r="F49" i="18" s="1"/>
  <c r="D154" i="18"/>
  <c r="D164" i="18"/>
  <c r="F166" i="18" s="1"/>
  <c r="H166" i="18" s="1"/>
  <c r="I169" i="18" s="1"/>
  <c r="F50" i="18" s="1"/>
  <c r="D144" i="18"/>
  <c r="F146" i="18" s="1"/>
  <c r="H146" i="18" s="1"/>
  <c r="I149" i="18" s="1"/>
  <c r="D50" i="18" s="1"/>
  <c r="D84" i="18"/>
  <c r="F87" i="18" s="1"/>
  <c r="I90" i="18" s="1"/>
  <c r="D49" i="18" s="1"/>
  <c r="F156" i="18" l="1"/>
  <c r="H156" i="18" s="1"/>
  <c r="I159" i="18" s="1"/>
  <c r="E50" i="18" s="1"/>
  <c r="F46" i="18"/>
</calcChain>
</file>

<file path=xl/sharedStrings.xml><?xml version="1.0" encoding="utf-8"?>
<sst xmlns="http://schemas.openxmlformats.org/spreadsheetml/2006/main" count="5048" uniqueCount="749">
  <si>
    <t>基準寸法</t>
    <rPh sb="0" eb="2">
      <t>キジュン</t>
    </rPh>
    <rPh sb="2" eb="4">
      <t>スンポウ</t>
    </rPh>
    <phoneticPr fontId="1"/>
  </si>
  <si>
    <t>幅　ｂ</t>
    <rPh sb="0" eb="1">
      <t>ハバ</t>
    </rPh>
    <phoneticPr fontId="1"/>
  </si>
  <si>
    <t>せい　ｈ</t>
    <phoneticPr fontId="1"/>
  </si>
  <si>
    <t>根太負担幅</t>
    <rPh sb="0" eb="2">
      <t>ネダ</t>
    </rPh>
    <rPh sb="2" eb="4">
      <t>フタン</t>
    </rPh>
    <rPh sb="4" eb="5">
      <t>ハバ</t>
    </rPh>
    <phoneticPr fontId="1"/>
  </si>
  <si>
    <t>mm</t>
    <phoneticPr fontId="1"/>
  </si>
  <si>
    <t>変形増大係数</t>
    <rPh sb="0" eb="2">
      <t>ヘンケイ</t>
    </rPh>
    <rPh sb="2" eb="4">
      <t>ゾウダイ</t>
    </rPh>
    <rPh sb="4" eb="6">
      <t>ケイスウ</t>
    </rPh>
    <phoneticPr fontId="1"/>
  </si>
  <si>
    <t>システム係数</t>
    <rPh sb="4" eb="6">
      <t>ケイスウ</t>
    </rPh>
    <phoneticPr fontId="1"/>
  </si>
  <si>
    <t>寸法調整係数</t>
    <rPh sb="0" eb="2">
      <t>スンポウ</t>
    </rPh>
    <rPh sb="2" eb="4">
      <t>チョウセイ</t>
    </rPh>
    <rPh sb="4" eb="6">
      <t>ケイスウ</t>
    </rPh>
    <phoneticPr fontId="1"/>
  </si>
  <si>
    <t>根太計算用荷重</t>
    <rPh sb="0" eb="2">
      <t>ネダ</t>
    </rPh>
    <rPh sb="2" eb="4">
      <t>ケイサン</t>
    </rPh>
    <rPh sb="4" eb="5">
      <t>ヨウ</t>
    </rPh>
    <rPh sb="5" eb="7">
      <t>カジュウ</t>
    </rPh>
    <phoneticPr fontId="1"/>
  </si>
  <si>
    <t>長期曲げ応力度</t>
    <rPh sb="0" eb="2">
      <t>チョウキ</t>
    </rPh>
    <rPh sb="2" eb="3">
      <t>マ</t>
    </rPh>
    <rPh sb="4" eb="7">
      <t>オウリョクド</t>
    </rPh>
    <phoneticPr fontId="1"/>
  </si>
  <si>
    <t>断面2次モーメント I</t>
    <rPh sb="0" eb="2">
      <t>ダンメン</t>
    </rPh>
    <rPh sb="3" eb="4">
      <t>ジ</t>
    </rPh>
    <phoneticPr fontId="1"/>
  </si>
  <si>
    <t>mm^2</t>
    <phoneticPr fontId="1"/>
  </si>
  <si>
    <t>樹    種</t>
    <rPh sb="0" eb="1">
      <t>キ</t>
    </rPh>
    <rPh sb="5" eb="6">
      <t>シュ</t>
    </rPh>
    <phoneticPr fontId="1"/>
  </si>
  <si>
    <t>寸    法</t>
    <rPh sb="0" eb="1">
      <t>スン</t>
    </rPh>
    <rPh sb="5" eb="6">
      <t>ホウ</t>
    </rPh>
    <phoneticPr fontId="1"/>
  </si>
  <si>
    <t>断面係数    Z</t>
    <rPh sb="0" eb="2">
      <t>ダンメン</t>
    </rPh>
    <rPh sb="2" eb="4">
      <t>ケイスウ</t>
    </rPh>
    <phoneticPr fontId="1"/>
  </si>
  <si>
    <t>断面積       A</t>
    <rPh sb="0" eb="3">
      <t>ダンメンセキ</t>
    </rPh>
    <phoneticPr fontId="1"/>
  </si>
  <si>
    <t>〈システム係数）</t>
    <rPh sb="5" eb="7">
      <t>ケイスウ</t>
    </rPh>
    <phoneticPr fontId="1"/>
  </si>
  <si>
    <t>〈寸法調整係数）</t>
    <rPh sb="1" eb="3">
      <t>スンポウ</t>
    </rPh>
    <rPh sb="3" eb="5">
      <t>チョウセイ</t>
    </rPh>
    <rPh sb="5" eb="7">
      <t>ケイスウ</t>
    </rPh>
    <phoneticPr fontId="1"/>
  </si>
  <si>
    <t>（　荷　重　）</t>
    <rPh sb="2" eb="3">
      <t>ニ</t>
    </rPh>
    <rPh sb="4" eb="5">
      <t>ジュウ</t>
    </rPh>
    <phoneticPr fontId="1"/>
  </si>
  <si>
    <t>( N・m )</t>
    <phoneticPr fontId="1"/>
  </si>
  <si>
    <t>( N/mm^2)</t>
    <phoneticPr fontId="1"/>
  </si>
  <si>
    <t>/ Z　=</t>
    <phoneticPr fontId="1"/>
  </si>
  <si>
    <t>/8      =</t>
    <phoneticPr fontId="1"/>
  </si>
  <si>
    <t>許容根太スパン</t>
    <rPh sb="0" eb="2">
      <t>キョヨウ</t>
    </rPh>
    <rPh sb="2" eb="4">
      <t>ネダ</t>
    </rPh>
    <phoneticPr fontId="1"/>
  </si>
  <si>
    <t>∴　L  =</t>
    <phoneticPr fontId="1"/>
  </si>
  <si>
    <t>（許容応力度用）X</t>
    <rPh sb="1" eb="3">
      <t>キョヨウ</t>
    </rPh>
    <rPh sb="3" eb="6">
      <t>オウリョクド</t>
    </rPh>
    <rPh sb="6" eb="7">
      <t>ヨウ</t>
    </rPh>
    <phoneticPr fontId="1"/>
  </si>
  <si>
    <t>（たわみ計算用）X</t>
    <rPh sb="4" eb="6">
      <t>ケイサン</t>
    </rPh>
    <rPh sb="6" eb="7">
      <t>ヨウ</t>
    </rPh>
    <phoneticPr fontId="1"/>
  </si>
  <si>
    <t>等分布荷重　(N/m)</t>
    <rPh sb="0" eb="1">
      <t>トウ</t>
    </rPh>
    <rPh sb="1" eb="3">
      <t>ブンプ</t>
    </rPh>
    <rPh sb="3" eb="5">
      <t>カジュウ</t>
    </rPh>
    <phoneticPr fontId="1"/>
  </si>
  <si>
    <t>根太負担幅 ( m )</t>
    <rPh sb="0" eb="2">
      <t>ネダ</t>
    </rPh>
    <rPh sb="2" eb="4">
      <t>フタン</t>
    </rPh>
    <rPh sb="4" eb="5">
      <t>ハバ</t>
    </rPh>
    <phoneticPr fontId="1"/>
  </si>
  <si>
    <t>（等分布荷重 , N/m^2 ）</t>
    <rPh sb="1" eb="2">
      <t>トウ</t>
    </rPh>
    <rPh sb="2" eb="4">
      <t>ブンプ</t>
    </rPh>
    <rPh sb="4" eb="6">
      <t>カジュウ</t>
    </rPh>
    <phoneticPr fontId="1"/>
  </si>
  <si>
    <t>x L  ) /2  =</t>
    <phoneticPr fontId="1"/>
  </si>
  <si>
    <t xml:space="preserve"> ( N )</t>
    <phoneticPr fontId="1"/>
  </si>
  <si>
    <t>1.5  x</t>
    <phoneticPr fontId="1"/>
  </si>
  <si>
    <t>長期せん断応力度</t>
    <rPh sb="0" eb="2">
      <t>チョウキ</t>
    </rPh>
    <rPh sb="4" eb="5">
      <t>ダン</t>
    </rPh>
    <rPh sb="5" eb="7">
      <t>オウリョク</t>
    </rPh>
    <rPh sb="7" eb="8">
      <t>ド</t>
    </rPh>
    <phoneticPr fontId="1"/>
  </si>
  <si>
    <t>(1.1xF/3 ) x</t>
    <phoneticPr fontId="1"/>
  </si>
  <si>
    <t>( 1.1xF/3 )</t>
    <phoneticPr fontId="1"/>
  </si>
  <si>
    <t xml:space="preserve"> ( N /mm^2 )</t>
    <phoneticPr fontId="1"/>
  </si>
  <si>
    <t>young's mod</t>
    <phoneticPr fontId="1"/>
  </si>
  <si>
    <t>mm^3</t>
  </si>
  <si>
    <t>mm^4</t>
  </si>
  <si>
    <t>断面2次モーメントI</t>
    <rPh sb="0" eb="2">
      <t>ダンメン</t>
    </rPh>
    <rPh sb="3" eb="4">
      <t>ジ</t>
    </rPh>
    <phoneticPr fontId="1"/>
  </si>
  <si>
    <t>根太のスパン表</t>
    <rPh sb="0" eb="2">
      <t>ネダ</t>
    </rPh>
    <rPh sb="6" eb="7">
      <t>ヒョウ</t>
    </rPh>
    <phoneticPr fontId="1"/>
  </si>
  <si>
    <t>許容根太スパン　（　ｍ　）</t>
    <rPh sb="0" eb="2">
      <t>キョヨウ</t>
    </rPh>
    <rPh sb="2" eb="4">
      <t>ネダ</t>
    </rPh>
    <phoneticPr fontId="1"/>
  </si>
  <si>
    <t>たわみ制限による場合</t>
    <rPh sb="3" eb="5">
      <t>セイゲン</t>
    </rPh>
    <rPh sb="8" eb="10">
      <t>バアイ</t>
    </rPh>
    <phoneticPr fontId="1"/>
  </si>
  <si>
    <t>強度による場合</t>
    <rPh sb="0" eb="2">
      <t>キョウド</t>
    </rPh>
    <rPh sb="5" eb="7">
      <t>バアイ</t>
    </rPh>
    <phoneticPr fontId="1"/>
  </si>
  <si>
    <t>目視２級</t>
    <rPh sb="0" eb="2">
      <t>モクシ</t>
    </rPh>
    <rPh sb="3" eb="4">
      <t>キュウ</t>
    </rPh>
    <phoneticPr fontId="1"/>
  </si>
  <si>
    <t>目視１級</t>
    <rPh sb="0" eb="2">
      <t>モクシ</t>
    </rPh>
    <rPh sb="3" eb="4">
      <t>キュウ</t>
    </rPh>
    <phoneticPr fontId="1"/>
  </si>
  <si>
    <t>目視３級</t>
    <rPh sb="0" eb="2">
      <t>モクシ</t>
    </rPh>
    <rPh sb="3" eb="4">
      <t>キュウ</t>
    </rPh>
    <phoneticPr fontId="1"/>
  </si>
  <si>
    <t>機械E50</t>
    <rPh sb="0" eb="2">
      <t>キカイ</t>
    </rPh>
    <phoneticPr fontId="1"/>
  </si>
  <si>
    <t>機械E70</t>
    <rPh sb="0" eb="2">
      <t>キカイ</t>
    </rPh>
    <phoneticPr fontId="1"/>
  </si>
  <si>
    <t>機械E90</t>
    <rPh sb="0" eb="2">
      <t>キカイ</t>
    </rPh>
    <phoneticPr fontId="1"/>
  </si>
  <si>
    <t>機械E110</t>
    <rPh sb="0" eb="2">
      <t>キカイ</t>
    </rPh>
    <phoneticPr fontId="1"/>
  </si>
  <si>
    <t>機械E130</t>
    <rPh sb="0" eb="2">
      <t>キカイ</t>
    </rPh>
    <phoneticPr fontId="1"/>
  </si>
  <si>
    <t>機械E150</t>
    <rPh sb="0" eb="2">
      <t>キカイ</t>
    </rPh>
    <phoneticPr fontId="1"/>
  </si>
  <si>
    <t>等  級</t>
    <rPh sb="0" eb="1">
      <t>トウ</t>
    </rPh>
    <rPh sb="3" eb="4">
      <t>キュウ</t>
    </rPh>
    <phoneticPr fontId="1"/>
  </si>
  <si>
    <t>すぎ</t>
    <phoneticPr fontId="1"/>
  </si>
  <si>
    <t>ひのき</t>
    <phoneticPr fontId="1"/>
  </si>
  <si>
    <t>あかまつ</t>
    <phoneticPr fontId="1"/>
  </si>
  <si>
    <t>x L^2</t>
    <phoneticPr fontId="1"/>
  </si>
  <si>
    <t>= L^2</t>
    <phoneticPr fontId="1"/>
  </si>
  <si>
    <t>x L  ^2  )</t>
    <phoneticPr fontId="1"/>
  </si>
  <si>
    <t>L  =</t>
    <phoneticPr fontId="1"/>
  </si>
  <si>
    <t xml:space="preserve"> x L</t>
    <phoneticPr fontId="1"/>
  </si>
  <si>
    <t>L /  A   =</t>
    <phoneticPr fontId="1"/>
  </si>
  <si>
    <t xml:space="preserve">δ = ( 5 x </t>
    <phoneticPr fontId="1"/>
  </si>
  <si>
    <t>xL^4 / (  384x</t>
    <phoneticPr fontId="1"/>
  </si>
  <si>
    <t>（変形増大係数）</t>
    <rPh sb="1" eb="3">
      <t>ヘンケイ</t>
    </rPh>
    <rPh sb="3" eb="5">
      <t>ゾウダイ</t>
    </rPh>
    <rPh sb="5" eb="7">
      <t>ケイスウ</t>
    </rPh>
    <phoneticPr fontId="1"/>
  </si>
  <si>
    <t>L =</t>
    <phoneticPr fontId="1"/>
  </si>
  <si>
    <t>δ　=</t>
    <phoneticPr fontId="1"/>
  </si>
  <si>
    <t>L/250</t>
    <phoneticPr fontId="1"/>
  </si>
  <si>
    <t>x L^4 ( m )</t>
    <phoneticPr fontId="1"/>
  </si>
  <si>
    <t>（荷重）</t>
    <rPh sb="1" eb="3">
      <t>カジュウ</t>
    </rPh>
    <phoneticPr fontId="1"/>
  </si>
  <si>
    <t>床小梁のスパン表</t>
    <rPh sb="0" eb="1">
      <t>トコ</t>
    </rPh>
    <rPh sb="1" eb="3">
      <t>コハリ</t>
    </rPh>
    <rPh sb="7" eb="8">
      <t>ヒョウ</t>
    </rPh>
    <phoneticPr fontId="1"/>
  </si>
  <si>
    <t>床小梁断面 b x h （　ｍｍ x mm　）</t>
    <rPh sb="0" eb="1">
      <t>ユカ</t>
    </rPh>
    <rPh sb="1" eb="2">
      <t>ショウ</t>
    </rPh>
    <rPh sb="2" eb="3">
      <t>ハリ</t>
    </rPh>
    <rPh sb="3" eb="5">
      <t>ダンメン</t>
    </rPh>
    <phoneticPr fontId="1"/>
  </si>
  <si>
    <t>材端の反力(N)</t>
    <rPh sb="0" eb="1">
      <t>ザイ</t>
    </rPh>
    <rPh sb="1" eb="2">
      <t>タン</t>
    </rPh>
    <rPh sb="3" eb="5">
      <t>ハンリョク</t>
    </rPh>
    <phoneticPr fontId="1"/>
  </si>
  <si>
    <t>床小梁間隔</t>
    <rPh sb="0" eb="1">
      <t>ユカ</t>
    </rPh>
    <rPh sb="1" eb="2">
      <t>ショウ</t>
    </rPh>
    <rPh sb="2" eb="3">
      <t>ハリ</t>
    </rPh>
    <rPh sb="3" eb="5">
      <t>カンカク</t>
    </rPh>
    <phoneticPr fontId="1"/>
  </si>
  <si>
    <t>床小梁スパン</t>
    <rPh sb="0" eb="1">
      <t>ユカ</t>
    </rPh>
    <rPh sb="1" eb="2">
      <t>ショウ</t>
    </rPh>
    <rPh sb="2" eb="3">
      <t>ハリ</t>
    </rPh>
    <phoneticPr fontId="1"/>
  </si>
  <si>
    <t>m</t>
    <phoneticPr fontId="1"/>
  </si>
  <si>
    <t>幅　ｂ (mm )</t>
    <rPh sb="0" eb="1">
      <t>ハバ</t>
    </rPh>
    <phoneticPr fontId="1"/>
  </si>
  <si>
    <t>せい h (mm)</t>
    <phoneticPr fontId="1"/>
  </si>
  <si>
    <t>荷重負担幅</t>
    <rPh sb="0" eb="2">
      <t>カジュウ</t>
    </rPh>
    <rPh sb="2" eb="4">
      <t>フタン</t>
    </rPh>
    <rPh sb="4" eb="5">
      <t>ハバ</t>
    </rPh>
    <phoneticPr fontId="1"/>
  </si>
  <si>
    <t>荷重負担幅 ( m )</t>
    <rPh sb="0" eb="2">
      <t>カジュウ</t>
    </rPh>
    <rPh sb="2" eb="4">
      <t>フタン</t>
    </rPh>
    <rPh sb="4" eb="5">
      <t>ハバ</t>
    </rPh>
    <phoneticPr fontId="1"/>
  </si>
  <si>
    <t>床荷重</t>
    <rPh sb="0" eb="1">
      <t>ユカ</t>
    </rPh>
    <rPh sb="1" eb="3">
      <t>カジュウ</t>
    </rPh>
    <phoneticPr fontId="1"/>
  </si>
  <si>
    <t>床小梁自重</t>
    <rPh sb="0" eb="1">
      <t>ユカ</t>
    </rPh>
    <rPh sb="1" eb="2">
      <t>ショウ</t>
    </rPh>
    <rPh sb="2" eb="3">
      <t>ハリ</t>
    </rPh>
    <rPh sb="3" eb="5">
      <t>ジジュウ</t>
    </rPh>
    <phoneticPr fontId="1"/>
  </si>
  <si>
    <t>許容応力度計算用</t>
    <rPh sb="0" eb="2">
      <t>キョヨウ</t>
    </rPh>
    <rPh sb="2" eb="5">
      <t>オウリョクド</t>
    </rPh>
    <rPh sb="5" eb="7">
      <t>ケイサン</t>
    </rPh>
    <rPh sb="7" eb="8">
      <t>ヨウ</t>
    </rPh>
    <phoneticPr fontId="1"/>
  </si>
  <si>
    <t>total</t>
    <phoneticPr fontId="1"/>
  </si>
  <si>
    <t>（許容応力度用）x</t>
    <rPh sb="1" eb="3">
      <t>キョヨウ</t>
    </rPh>
    <rPh sb="3" eb="6">
      <t>オウリョクド</t>
    </rPh>
    <rPh sb="6" eb="7">
      <t>ヨウ</t>
    </rPh>
    <phoneticPr fontId="1"/>
  </si>
  <si>
    <t>（たわみ計算用）x</t>
    <rPh sb="4" eb="6">
      <t>ケイサン</t>
    </rPh>
    <rPh sb="6" eb="7">
      <t>ヨウ</t>
    </rPh>
    <phoneticPr fontId="1"/>
  </si>
  <si>
    <t>^2)/8      =</t>
    <phoneticPr fontId="1"/>
  </si>
  <si>
    <t>(1.1F/3) x</t>
    <phoneticPr fontId="1"/>
  </si>
  <si>
    <t>Z</t>
    <phoneticPr fontId="1"/>
  </si>
  <si>
    <t xml:space="preserve"> ( N・m )</t>
    <phoneticPr fontId="1"/>
  </si>
  <si>
    <t>〈スパン〉</t>
    <phoneticPr fontId="1"/>
  </si>
  <si>
    <t>( N/mm^2)</t>
    <phoneticPr fontId="1"/>
  </si>
  <si>
    <t>limit</t>
    <phoneticPr fontId="1"/>
  </si>
  <si>
    <t>/2  =</t>
    <phoneticPr fontId="1"/>
  </si>
  <si>
    <t>A</t>
    <phoneticPr fontId="1"/>
  </si>
  <si>
    <t>limit</t>
    <phoneticPr fontId="1"/>
  </si>
  <si>
    <t>1.1F/3</t>
    <phoneticPr fontId="1"/>
  </si>
  <si>
    <t>=</t>
    <phoneticPr fontId="1"/>
  </si>
  <si>
    <t>せん断用</t>
    <rPh sb="2" eb="3">
      <t>ダン</t>
    </rPh>
    <rPh sb="3" eb="4">
      <t>ヨウ</t>
    </rPh>
    <phoneticPr fontId="1"/>
  </si>
  <si>
    <t>曲げ用</t>
    <rPh sb="0" eb="1">
      <t>マ</t>
    </rPh>
    <rPh sb="2" eb="3">
      <t>ヨウ</t>
    </rPh>
    <phoneticPr fontId="1"/>
  </si>
  <si>
    <t>たわみ用</t>
    <rPh sb="3" eb="4">
      <t>ヨウ</t>
    </rPh>
    <phoneticPr fontId="1"/>
  </si>
  <si>
    <t>I</t>
    <phoneticPr fontId="1"/>
  </si>
  <si>
    <t>( mm )</t>
    <phoneticPr fontId="1"/>
  </si>
  <si>
    <t>)x1.00E+09 x 2  =</t>
    <phoneticPr fontId="1"/>
  </si>
  <si>
    <t>(L/250)</t>
    <phoneticPr fontId="1"/>
  </si>
  <si>
    <t>断面欠損による低減</t>
    <rPh sb="0" eb="2">
      <t>ダンメン</t>
    </rPh>
    <rPh sb="2" eb="4">
      <t>ケッソン</t>
    </rPh>
    <rPh sb="7" eb="9">
      <t>テイゲン</t>
    </rPh>
    <phoneticPr fontId="1"/>
  </si>
  <si>
    <t>な　　し</t>
    <phoneticPr fontId="1"/>
  </si>
  <si>
    <t>荷　重　の　計　算</t>
    <rPh sb="0" eb="1">
      <t>ニ</t>
    </rPh>
    <rPh sb="2" eb="3">
      <t>ジュウ</t>
    </rPh>
    <rPh sb="6" eb="7">
      <t>ケイ</t>
    </rPh>
    <rPh sb="8" eb="9">
      <t>ザン</t>
    </rPh>
    <phoneticPr fontId="1"/>
  </si>
  <si>
    <t>1)  固 定 荷 重  　G</t>
    <rPh sb="4" eb="5">
      <t>カタ</t>
    </rPh>
    <rPh sb="6" eb="7">
      <t>サダム</t>
    </rPh>
    <rPh sb="8" eb="9">
      <t>ニ</t>
    </rPh>
    <rPh sb="10" eb="11">
      <t>ジュウ</t>
    </rPh>
    <phoneticPr fontId="1"/>
  </si>
  <si>
    <t>床面積につき</t>
    <rPh sb="0" eb="3">
      <t>ユカメンセキ</t>
    </rPh>
    <phoneticPr fontId="1"/>
  </si>
  <si>
    <t>スパン２ｍ以下</t>
    <rPh sb="5" eb="7">
      <t>イカ</t>
    </rPh>
    <phoneticPr fontId="1"/>
  </si>
  <si>
    <t>flooring_or畳</t>
    <rPh sb="11" eb="12">
      <t>タタミ</t>
    </rPh>
    <phoneticPr fontId="1"/>
  </si>
  <si>
    <t>おもさ</t>
    <phoneticPr fontId="1"/>
  </si>
  <si>
    <t>まるめて</t>
    <phoneticPr fontId="1"/>
  </si>
  <si>
    <t>計</t>
    <rPh sb="0" eb="1">
      <t>ケイ</t>
    </rPh>
    <phoneticPr fontId="1"/>
  </si>
  <si>
    <t>床    板</t>
    <rPh sb="0" eb="1">
      <t>ユカ</t>
    </rPh>
    <rPh sb="5" eb="6">
      <t>イタ</t>
    </rPh>
    <phoneticPr fontId="1"/>
  </si>
  <si>
    <t>自由入力</t>
    <rPh sb="0" eb="2">
      <t>ジユウ</t>
    </rPh>
    <rPh sb="2" eb="4">
      <t>ニュウリョク</t>
    </rPh>
    <phoneticPr fontId="1"/>
  </si>
  <si>
    <t>旧住木仕様</t>
    <rPh sb="0" eb="1">
      <t>キュウ</t>
    </rPh>
    <rPh sb="1" eb="2">
      <t>ジュウ</t>
    </rPh>
    <rPh sb="2" eb="3">
      <t>キ</t>
    </rPh>
    <rPh sb="3" eb="5">
      <t>シヨウ</t>
    </rPh>
    <phoneticPr fontId="1"/>
  </si>
  <si>
    <t>2)　積載荷重　　P</t>
    <rPh sb="3" eb="5">
      <t>セキサイ</t>
    </rPh>
    <rPh sb="5" eb="7">
      <t>カジュウ</t>
    </rPh>
    <phoneticPr fontId="1"/>
  </si>
  <si>
    <t>（N/m^2)</t>
    <phoneticPr fontId="1"/>
  </si>
  <si>
    <t>たわみ</t>
    <phoneticPr fontId="1"/>
  </si>
  <si>
    <t>許容応力度用</t>
    <rPh sb="0" eb="5">
      <t>キョヨウオウリョクド</t>
    </rPh>
    <rPh sb="5" eb="6">
      <t>ヨウ</t>
    </rPh>
    <phoneticPr fontId="1"/>
  </si>
  <si>
    <t>G</t>
    <phoneticPr fontId="1"/>
  </si>
  <si>
    <t>たわみ用</t>
    <rPh sb="3" eb="4">
      <t>ヨウ</t>
    </rPh>
    <phoneticPr fontId="1"/>
  </si>
  <si>
    <t>＋　　　P</t>
    <phoneticPr fontId="1"/>
  </si>
  <si>
    <t xml:space="preserve"> (N/m^2)</t>
    <phoneticPr fontId="1"/>
  </si>
  <si>
    <t>根太自重</t>
    <rPh sb="0" eb="2">
      <t>ネダ</t>
    </rPh>
    <rPh sb="2" eb="4">
      <t>ジジュウ</t>
    </rPh>
    <phoneticPr fontId="1"/>
  </si>
  <si>
    <t>天井ボード</t>
    <rPh sb="0" eb="2">
      <t>テンジョウ</t>
    </rPh>
    <phoneticPr fontId="1"/>
  </si>
  <si>
    <t>床梁自重</t>
    <rPh sb="0" eb="1">
      <t>ユカ</t>
    </rPh>
    <rPh sb="1" eb="2">
      <t>ハリ</t>
    </rPh>
    <rPh sb="2" eb="4">
      <t>ジジュウ</t>
    </rPh>
    <phoneticPr fontId="1"/>
  </si>
  <si>
    <t>床小梁</t>
    <rPh sb="0" eb="1">
      <t>ユカ</t>
    </rPh>
    <rPh sb="1" eb="2">
      <t>ショウ</t>
    </rPh>
    <rPh sb="2" eb="3">
      <t>ハリ</t>
    </rPh>
    <phoneticPr fontId="1"/>
  </si>
  <si>
    <t>床の大梁スパン</t>
    <rPh sb="0" eb="1">
      <t>ユカ</t>
    </rPh>
    <rPh sb="2" eb="4">
      <t>オオハリ</t>
    </rPh>
    <rPh sb="3" eb="4">
      <t>ハリ</t>
    </rPh>
    <phoneticPr fontId="1"/>
  </si>
  <si>
    <t>床大梁間隔</t>
    <rPh sb="0" eb="1">
      <t>ユカ</t>
    </rPh>
    <rPh sb="1" eb="2">
      <t>ダイ</t>
    </rPh>
    <rPh sb="2" eb="3">
      <t>ハリ</t>
    </rPh>
    <rPh sb="3" eb="5">
      <t>カンカク</t>
    </rPh>
    <phoneticPr fontId="1"/>
  </si>
  <si>
    <t>荷重形式</t>
    <rPh sb="0" eb="2">
      <t>カジュウ</t>
    </rPh>
    <rPh sb="2" eb="4">
      <t>ケイシキ</t>
    </rPh>
    <phoneticPr fontId="1"/>
  </si>
  <si>
    <t>case</t>
    <phoneticPr fontId="1"/>
  </si>
  <si>
    <t>等分布荷重　(N/m)</t>
    <phoneticPr fontId="1"/>
  </si>
  <si>
    <t>集中荷重　(N/m)</t>
    <rPh sb="0" eb="2">
      <t>シュウチュウ</t>
    </rPh>
    <rPh sb="2" eb="4">
      <t>カジュウ</t>
    </rPh>
    <phoneticPr fontId="1"/>
  </si>
  <si>
    <t>A</t>
    <phoneticPr fontId="1"/>
  </si>
  <si>
    <t>Z</t>
    <phoneticPr fontId="1"/>
  </si>
  <si>
    <t>I</t>
    <phoneticPr fontId="1"/>
  </si>
  <si>
    <t>（支配面積）＝</t>
    <rPh sb="1" eb="3">
      <t>シハイ</t>
    </rPh>
    <rPh sb="3" eb="5">
      <t>メンセキ</t>
    </rPh>
    <phoneticPr fontId="1"/>
  </si>
  <si>
    <t>x</t>
    <phoneticPr fontId="1"/>
  </si>
  <si>
    <t>集中荷重</t>
    <rPh sb="0" eb="2">
      <t>シュウチュウ</t>
    </rPh>
    <rPh sb="2" eb="4">
      <t>カジュウ</t>
    </rPh>
    <phoneticPr fontId="1"/>
  </si>
  <si>
    <t>P1</t>
    <phoneticPr fontId="1"/>
  </si>
  <si>
    <t>材端からの距離</t>
    <rPh sb="0" eb="1">
      <t>ザイ</t>
    </rPh>
    <rPh sb="1" eb="2">
      <t>タン</t>
    </rPh>
    <rPh sb="5" eb="7">
      <t>キョリ</t>
    </rPh>
    <phoneticPr fontId="1"/>
  </si>
  <si>
    <t>P1 x</t>
    <phoneticPr fontId="1"/>
  </si>
  <si>
    <t>P2</t>
    <phoneticPr fontId="1"/>
  </si>
  <si>
    <t>P2 x</t>
    <phoneticPr fontId="1"/>
  </si>
  <si>
    <t>d1の曲げモーメント</t>
    <rPh sb="3" eb="4">
      <t>マ</t>
    </rPh>
    <phoneticPr fontId="1"/>
  </si>
  <si>
    <t>x  (L-d1) / L  =</t>
    <phoneticPr fontId="1"/>
  </si>
  <si>
    <t>x  (L-d2) / L  =</t>
    <phoneticPr fontId="1"/>
  </si>
  <si>
    <t>d1(m)</t>
    <phoneticPr fontId="1"/>
  </si>
  <si>
    <t>d2(m)</t>
    <phoneticPr fontId="1"/>
  </si>
  <si>
    <t>)     =</t>
    <phoneticPr fontId="1"/>
  </si>
  <si>
    <t>d2の曲げモーメント</t>
    <rPh sb="3" eb="4">
      <t>マ</t>
    </rPh>
    <phoneticPr fontId="1"/>
  </si>
  <si>
    <t>M集2 +</t>
    <rPh sb="1" eb="2">
      <t>シュウ</t>
    </rPh>
    <phoneticPr fontId="1"/>
  </si>
  <si>
    <t>曲げモーメント合計</t>
    <rPh sb="0" eb="1">
      <t>マ</t>
    </rPh>
    <rPh sb="7" eb="9">
      <t>ゴウケイ</t>
    </rPh>
    <phoneticPr fontId="1"/>
  </si>
  <si>
    <t>P1x d1 /L =</t>
    <phoneticPr fontId="1"/>
  </si>
  <si>
    <t>P2x d2 /L =</t>
    <phoneticPr fontId="1"/>
  </si>
  <si>
    <t>total</t>
    <phoneticPr fontId="1"/>
  </si>
  <si>
    <t xml:space="preserve"> (N)</t>
    <phoneticPr fontId="1"/>
  </si>
  <si>
    <t>^4）/(384 x</t>
    <phoneticPr fontId="1"/>
  </si>
  <si>
    <t>^4)/(384 x</t>
    <phoneticPr fontId="1"/>
  </si>
  <si>
    <t>x (L^2  - (</t>
    <phoneticPr fontId="1"/>
  </si>
  <si>
    <t>たわみの合計</t>
    <rPh sb="4" eb="6">
      <t>ゴウケイ</t>
    </rPh>
    <phoneticPr fontId="1"/>
  </si>
  <si>
    <t>せん断力合計</t>
    <rPh sb="2" eb="4">
      <t>ダンリョク</t>
    </rPh>
    <rPh sb="4" eb="6">
      <t>ゴウケイ</t>
    </rPh>
    <phoneticPr fontId="1"/>
  </si>
  <si>
    <t>間仕切り</t>
    <rPh sb="0" eb="3">
      <t>マジキ</t>
    </rPh>
    <phoneticPr fontId="1"/>
  </si>
  <si>
    <t>( a )</t>
    <phoneticPr fontId="1"/>
  </si>
  <si>
    <t>( b )</t>
    <phoneticPr fontId="1"/>
  </si>
  <si>
    <t>( c )</t>
    <phoneticPr fontId="1"/>
  </si>
  <si>
    <t>( d )</t>
    <phoneticPr fontId="1"/>
  </si>
  <si>
    <t>床大梁自重</t>
    <rPh sb="0" eb="1">
      <t>ユカ</t>
    </rPh>
    <rPh sb="1" eb="2">
      <t>ダイ</t>
    </rPh>
    <rPh sb="2" eb="3">
      <t>ハリ</t>
    </rPh>
    <rPh sb="3" eb="5">
      <t>ジジュウ</t>
    </rPh>
    <phoneticPr fontId="1"/>
  </si>
  <si>
    <t>)^2) ^(3/2)/ 9√3x</t>
    <phoneticPr fontId="1"/>
  </si>
  <si>
    <t>P1</t>
    <phoneticPr fontId="1"/>
  </si>
  <si>
    <t>床大梁</t>
    <rPh sb="0" eb="1">
      <t>ユカ</t>
    </rPh>
    <rPh sb="1" eb="2">
      <t>ダイ</t>
    </rPh>
    <rPh sb="2" eb="3">
      <t>ハリ</t>
    </rPh>
    <phoneticPr fontId="1"/>
  </si>
  <si>
    <r>
      <t>床の大梁</t>
    </r>
    <r>
      <rPr>
        <sz val="16"/>
        <color theme="1"/>
        <rFont val="AR P丸ゴシック体E"/>
        <family val="3"/>
        <charset val="128"/>
      </rPr>
      <t>の</t>
    </r>
    <r>
      <rPr>
        <sz val="18"/>
        <color theme="1"/>
        <rFont val="AR P丸ゴシック体E"/>
        <family val="3"/>
        <charset val="128"/>
      </rPr>
      <t>スパン表</t>
    </r>
    <r>
      <rPr>
        <sz val="12"/>
        <color theme="1"/>
        <rFont val="AR P丸ゴシック体E"/>
        <family val="3"/>
        <charset val="128"/>
      </rPr>
      <t>（屋根荷重非支持）</t>
    </r>
    <rPh sb="0" eb="1">
      <t>トコ</t>
    </rPh>
    <rPh sb="2" eb="4">
      <t>オオハリ</t>
    </rPh>
    <rPh sb="8" eb="9">
      <t>ヒョウ</t>
    </rPh>
    <rPh sb="10" eb="12">
      <t>ヤネ</t>
    </rPh>
    <rPh sb="12" eb="14">
      <t>カジュウ</t>
    </rPh>
    <rPh sb="14" eb="15">
      <t>ヒ</t>
    </rPh>
    <rPh sb="15" eb="17">
      <t>シジ</t>
    </rPh>
    <phoneticPr fontId="1"/>
  </si>
  <si>
    <t>はりせい/有効スパン  1/12以上　？</t>
    <rPh sb="5" eb="7">
      <t>ユウコウ</t>
    </rPh>
    <rPh sb="16" eb="18">
      <t>イジョウ</t>
    </rPh>
    <phoneticPr fontId="1"/>
  </si>
  <si>
    <r>
      <t>たるき</t>
    </r>
    <r>
      <rPr>
        <sz val="14"/>
        <color theme="1"/>
        <rFont val="AR P丸ゴシック体E"/>
        <family val="3"/>
        <charset val="128"/>
      </rPr>
      <t>の</t>
    </r>
    <r>
      <rPr>
        <sz val="18"/>
        <color theme="1"/>
        <rFont val="AR P丸ゴシック体E"/>
        <family val="3"/>
        <charset val="128"/>
      </rPr>
      <t>スパン表</t>
    </r>
    <rPh sb="7" eb="8">
      <t>ヒョウ</t>
    </rPh>
    <phoneticPr fontId="1"/>
  </si>
  <si>
    <t>たるき間隔</t>
    <rPh sb="3" eb="5">
      <t>カンカク</t>
    </rPh>
    <phoneticPr fontId="1"/>
  </si>
  <si>
    <t>たわみ制限</t>
    <rPh sb="3" eb="5">
      <t>セイゲン</t>
    </rPh>
    <phoneticPr fontId="1"/>
  </si>
  <si>
    <t>固定荷重に対してスパンの1/150以下，</t>
    <rPh sb="0" eb="2">
      <t>コテイ</t>
    </rPh>
    <rPh sb="2" eb="4">
      <t>カジュウ</t>
    </rPh>
    <rPh sb="5" eb="6">
      <t>タイ</t>
    </rPh>
    <rPh sb="17" eb="19">
      <t>イカ</t>
    </rPh>
    <phoneticPr fontId="1"/>
  </si>
  <si>
    <t>固定＋積雪荷重に対してスパンの1/100以下</t>
    <rPh sb="0" eb="2">
      <t>コテイ</t>
    </rPh>
    <rPh sb="3" eb="5">
      <t>セキセツ</t>
    </rPh>
    <rPh sb="5" eb="7">
      <t>カジュウ</t>
    </rPh>
    <rPh sb="8" eb="9">
      <t>タイ</t>
    </rPh>
    <rPh sb="20" eb="22">
      <t>イカ</t>
    </rPh>
    <phoneticPr fontId="1"/>
  </si>
  <si>
    <t>一般地(50cm)</t>
    <rPh sb="0" eb="3">
      <t>イッパンチ</t>
    </rPh>
    <phoneticPr fontId="1"/>
  </si>
  <si>
    <t>多雪区域(100cm)</t>
    <rPh sb="0" eb="2">
      <t>タセツ</t>
    </rPh>
    <rPh sb="2" eb="4">
      <t>クイキ</t>
    </rPh>
    <phoneticPr fontId="1"/>
  </si>
  <si>
    <t>多雪区域(150cm)</t>
    <rPh sb="0" eb="2">
      <t>タセツ</t>
    </rPh>
    <rPh sb="2" eb="4">
      <t>クイキ</t>
    </rPh>
    <phoneticPr fontId="1"/>
  </si>
  <si>
    <t>多雪区域(200cm)</t>
    <rPh sb="0" eb="2">
      <t>タセツ</t>
    </rPh>
    <rPh sb="2" eb="4">
      <t>クイキ</t>
    </rPh>
    <phoneticPr fontId="1"/>
  </si>
  <si>
    <t>石綿ｽﾚｰﾄ葺き</t>
    <rPh sb="0" eb="2">
      <t>セキメン</t>
    </rPh>
    <rPh sb="6" eb="7">
      <t>フ</t>
    </rPh>
    <phoneticPr fontId="1"/>
  </si>
  <si>
    <t>瓦　葺　き</t>
    <rPh sb="0" eb="1">
      <t>カワラ</t>
    </rPh>
    <rPh sb="2" eb="3">
      <t>フ</t>
    </rPh>
    <phoneticPr fontId="1"/>
  </si>
  <si>
    <t>等　級　１</t>
    <rPh sb="0" eb="1">
      <t>トウ</t>
    </rPh>
    <rPh sb="2" eb="3">
      <t>キュウ</t>
    </rPh>
    <phoneticPr fontId="1"/>
  </si>
  <si>
    <t>等　級　２</t>
    <rPh sb="0" eb="1">
      <t>トウ</t>
    </rPh>
    <rPh sb="2" eb="3">
      <t>キュウ</t>
    </rPh>
    <phoneticPr fontId="1"/>
  </si>
  <si>
    <t>屋根勾配</t>
    <rPh sb="0" eb="2">
      <t>ヤネ</t>
    </rPh>
    <rPh sb="2" eb="4">
      <t>コウバイ</t>
    </rPh>
    <phoneticPr fontId="1"/>
  </si>
  <si>
    <t>雪止めの有無</t>
    <rPh sb="0" eb="2">
      <t>ユキド</t>
    </rPh>
    <rPh sb="4" eb="6">
      <t>ウム</t>
    </rPh>
    <phoneticPr fontId="1"/>
  </si>
  <si>
    <t>あ　　り</t>
    <phoneticPr fontId="1"/>
  </si>
  <si>
    <t>な　　し</t>
  </si>
  <si>
    <t>耐積雪等級</t>
    <rPh sb="0" eb="1">
      <t>タイ</t>
    </rPh>
    <rPh sb="1" eb="3">
      <t>セキセツ</t>
    </rPh>
    <rPh sb="3" eb="5">
      <t>トウキュウ</t>
    </rPh>
    <phoneticPr fontId="1"/>
  </si>
  <si>
    <t>屋根長期〈常時）</t>
    <rPh sb="0" eb="2">
      <t>ヤネ</t>
    </rPh>
    <rPh sb="2" eb="4">
      <t>チョウキ</t>
    </rPh>
    <rPh sb="5" eb="7">
      <t>ジョウジ</t>
    </rPh>
    <phoneticPr fontId="1"/>
  </si>
  <si>
    <t>屋根長期〈積雪時）</t>
    <rPh sb="0" eb="2">
      <t>ヤネ</t>
    </rPh>
    <rPh sb="2" eb="4">
      <t>チョウキ</t>
    </rPh>
    <rPh sb="5" eb="7">
      <t>セキセツ</t>
    </rPh>
    <rPh sb="7" eb="8">
      <t>ジ</t>
    </rPh>
    <phoneticPr fontId="1"/>
  </si>
  <si>
    <t>屋根短期〈積雪時）</t>
    <rPh sb="0" eb="2">
      <t>ヤネ</t>
    </rPh>
    <rPh sb="2" eb="4">
      <t>タンキ</t>
    </rPh>
    <rPh sb="5" eb="7">
      <t>セキセツ</t>
    </rPh>
    <rPh sb="7" eb="8">
      <t>ジ</t>
    </rPh>
    <phoneticPr fontId="1"/>
  </si>
  <si>
    <t>屋根荷重</t>
    <rPh sb="0" eb="2">
      <t>ヤネ</t>
    </rPh>
    <rPh sb="2" eb="4">
      <t>カジュウ</t>
    </rPh>
    <phoneticPr fontId="1"/>
  </si>
  <si>
    <t>2)　積雪荷重　　S</t>
    <rPh sb="3" eb="5">
      <t>セキセツ</t>
    </rPh>
    <rPh sb="5" eb="7">
      <t>カジュウ</t>
    </rPh>
    <phoneticPr fontId="1"/>
  </si>
  <si>
    <t>屋根形状係数</t>
    <rPh sb="0" eb="2">
      <t>ヤネ</t>
    </rPh>
    <rPh sb="2" eb="4">
      <t>ケイジョウ</t>
    </rPh>
    <rPh sb="4" eb="6">
      <t>ケイスウ</t>
    </rPh>
    <phoneticPr fontId="1"/>
  </si>
  <si>
    <t>短期積雪荷重</t>
    <rPh sb="0" eb="2">
      <t>タンキ</t>
    </rPh>
    <rPh sb="2" eb="4">
      <t>セキセツ</t>
    </rPh>
    <rPh sb="4" eb="6">
      <t>カジュウ</t>
    </rPh>
    <phoneticPr fontId="1"/>
  </si>
  <si>
    <t>長期積雪荷重</t>
    <rPh sb="0" eb="2">
      <t>チョウキ</t>
    </rPh>
    <rPh sb="2" eb="4">
      <t>セキセツ</t>
    </rPh>
    <rPh sb="4" eb="6">
      <t>カジュウ</t>
    </rPh>
    <phoneticPr fontId="1"/>
  </si>
  <si>
    <t>野地板</t>
    <rPh sb="0" eb="3">
      <t>ノジイタ</t>
    </rPh>
    <phoneticPr fontId="1"/>
  </si>
  <si>
    <t>屋根材</t>
    <rPh sb="0" eb="3">
      <t>ヤネザイ</t>
    </rPh>
    <phoneticPr fontId="1"/>
  </si>
  <si>
    <t>＋　S</t>
    <phoneticPr fontId="1"/>
  </si>
  <si>
    <t>度）</t>
    <rPh sb="0" eb="1">
      <t>ド</t>
    </rPh>
    <phoneticPr fontId="1"/>
  </si>
  <si>
    <t>〈積雪の単位重量）ｘ〈垂直積雪量）ｘ（屋根形状係数）</t>
    <rPh sb="1" eb="3">
      <t>セキセツ</t>
    </rPh>
    <rPh sb="4" eb="6">
      <t>タンイ</t>
    </rPh>
    <rPh sb="6" eb="8">
      <t>ジュウリョウ</t>
    </rPh>
    <rPh sb="11" eb="13">
      <t>スイチョク</t>
    </rPh>
    <rPh sb="13" eb="16">
      <t>セキセツリョウ</t>
    </rPh>
    <rPh sb="19" eb="21">
      <t>ヤネ</t>
    </rPh>
    <rPh sb="21" eb="23">
      <t>ケイジョウ</t>
    </rPh>
    <rPh sb="23" eb="25">
      <t>ケイスウ</t>
    </rPh>
    <phoneticPr fontId="1"/>
  </si>
  <si>
    <t>〈積雪の単位重量）ｘ〈垂直積雪量）ｘ（屋根形状係数）x 0.7</t>
    <rPh sb="1" eb="3">
      <t>セキセツ</t>
    </rPh>
    <rPh sb="4" eb="6">
      <t>タンイ</t>
    </rPh>
    <rPh sb="6" eb="8">
      <t>ジュウリョウ</t>
    </rPh>
    <rPh sb="11" eb="13">
      <t>スイチョク</t>
    </rPh>
    <rPh sb="13" eb="16">
      <t>セキセツリョウ</t>
    </rPh>
    <rPh sb="19" eb="21">
      <t>ヤネ</t>
    </rPh>
    <rPh sb="21" eb="23">
      <t>ケイジョウ</t>
    </rPh>
    <rPh sb="23" eb="25">
      <t>ケイスウ</t>
    </rPh>
    <phoneticPr fontId="1"/>
  </si>
  <si>
    <t>屋根面につき</t>
    <rPh sb="0" eb="2">
      <t>ヤネ</t>
    </rPh>
    <rPh sb="2" eb="3">
      <t>メン</t>
    </rPh>
    <phoneticPr fontId="1"/>
  </si>
  <si>
    <t>　寸 　　　（β</t>
    <rPh sb="1" eb="2">
      <t>スン</t>
    </rPh>
    <phoneticPr fontId="1"/>
  </si>
  <si>
    <t>μb  =</t>
    <phoneticPr fontId="1"/>
  </si>
  <si>
    <t>の単位重量</t>
    <rPh sb="1" eb="3">
      <t>タンイ</t>
    </rPh>
    <rPh sb="3" eb="5">
      <t>ジュウリョウ</t>
    </rPh>
    <phoneticPr fontId="1"/>
  </si>
  <si>
    <t>( cos (1.5β））＾１／２　＝</t>
    <phoneticPr fontId="1"/>
  </si>
  <si>
    <t>単位面積あたりの積雪荷重</t>
    <rPh sb="0" eb="2">
      <t>タンイ</t>
    </rPh>
    <rPh sb="2" eb="4">
      <t>メンセキ</t>
    </rPh>
    <rPh sb="8" eb="10">
      <t>セキセツ</t>
    </rPh>
    <rPh sb="10" eb="12">
      <t>カジュウ</t>
    </rPh>
    <phoneticPr fontId="1"/>
  </si>
  <si>
    <t>勾配による補正</t>
    <rPh sb="0" eb="2">
      <t>コウバイ</t>
    </rPh>
    <rPh sb="5" eb="7">
      <t>ホセイ</t>
    </rPh>
    <phoneticPr fontId="1"/>
  </si>
  <si>
    <t>屋根勾配による荷重の補正係数</t>
    <rPh sb="0" eb="2">
      <t>ヤネ</t>
    </rPh>
    <rPh sb="2" eb="4">
      <t>コウバイ</t>
    </rPh>
    <rPh sb="7" eb="9">
      <t>カジュウ</t>
    </rPh>
    <rPh sb="10" eb="12">
      <t>ホセイ</t>
    </rPh>
    <rPh sb="12" eb="14">
      <t>ケイスウ</t>
    </rPh>
    <phoneticPr fontId="1"/>
  </si>
  <si>
    <t>区　　域　：</t>
    <rPh sb="0" eb="1">
      <t>ク</t>
    </rPh>
    <rPh sb="3" eb="4">
      <t>イキ</t>
    </rPh>
    <phoneticPr fontId="1"/>
  </si>
  <si>
    <t>等　　級　：</t>
    <rPh sb="0" eb="1">
      <t>トウ</t>
    </rPh>
    <rPh sb="3" eb="4">
      <t>キュウ</t>
    </rPh>
    <phoneticPr fontId="1"/>
  </si>
  <si>
    <t>たるき負担幅 ( m )</t>
    <rPh sb="3" eb="5">
      <t>フタン</t>
    </rPh>
    <rPh sb="5" eb="6">
      <t>ハバ</t>
    </rPh>
    <phoneticPr fontId="1"/>
  </si>
  <si>
    <t>等分布荷重</t>
    <rPh sb="0" eb="1">
      <t>トウ</t>
    </rPh>
    <rPh sb="1" eb="3">
      <t>ブンプ</t>
    </rPh>
    <rPh sb="3" eb="5">
      <t>カジュウ</t>
    </rPh>
    <phoneticPr fontId="1"/>
  </si>
  <si>
    <t>(  N / m  )</t>
    <phoneticPr fontId="1"/>
  </si>
  <si>
    <t>長期積雪</t>
    <rPh sb="0" eb="2">
      <t>チョウキ</t>
    </rPh>
    <rPh sb="2" eb="4">
      <t>セキセツ</t>
    </rPh>
    <phoneticPr fontId="1"/>
  </si>
  <si>
    <t>短期積雪</t>
    <rPh sb="0" eb="2">
      <t>タンキ</t>
    </rPh>
    <rPh sb="2" eb="4">
      <t>セキセツ</t>
    </rPh>
    <phoneticPr fontId="1"/>
  </si>
  <si>
    <t>計算用荷重</t>
    <rPh sb="0" eb="2">
      <t>ケイサン</t>
    </rPh>
    <rPh sb="2" eb="3">
      <t>ヨウ</t>
    </rPh>
    <rPh sb="3" eb="5">
      <t>カジュウ</t>
    </rPh>
    <phoneticPr fontId="1"/>
  </si>
  <si>
    <r>
      <t>Ｍ</t>
    </r>
    <r>
      <rPr>
        <vertAlign val="subscript"/>
        <sz val="9"/>
        <rFont val="ＭＳ Ｐゴシック"/>
        <family val="3"/>
        <charset val="128"/>
      </rPr>
      <t>長雪</t>
    </r>
    <r>
      <rPr>
        <sz val="9"/>
        <rFont val="ＭＳ Ｐゴシック"/>
        <family val="3"/>
        <charset val="128"/>
      </rPr>
      <t>＝（</t>
    </r>
    <rPh sb="1" eb="2">
      <t>チョウ</t>
    </rPh>
    <rPh sb="2" eb="3">
      <t>ユキ</t>
    </rPh>
    <phoneticPr fontId="5"/>
  </si>
  <si>
    <r>
      <t>Ｍ</t>
    </r>
    <r>
      <rPr>
        <vertAlign val="subscript"/>
        <sz val="9"/>
        <rFont val="ＭＳ Ｐゴシック"/>
        <family val="3"/>
        <charset val="128"/>
      </rPr>
      <t>短雪</t>
    </r>
    <r>
      <rPr>
        <sz val="9"/>
        <rFont val="ＭＳ Ｐゴシック"/>
        <family val="3"/>
        <charset val="128"/>
      </rPr>
      <t>＝（</t>
    </r>
    <rPh sb="1" eb="2">
      <t>タン</t>
    </rPh>
    <rPh sb="2" eb="3">
      <t>ユキ</t>
    </rPh>
    <phoneticPr fontId="5"/>
  </si>
  <si>
    <t>長期・積雪</t>
    <rPh sb="0" eb="2">
      <t>チョウキ</t>
    </rPh>
    <rPh sb="3" eb="5">
      <t>セキセツ</t>
    </rPh>
    <phoneticPr fontId="1"/>
  </si>
  <si>
    <t>短期・積雪</t>
    <rPh sb="0" eb="2">
      <t>タンキ</t>
    </rPh>
    <rPh sb="3" eb="5">
      <t>セキセツ</t>
    </rPh>
    <phoneticPr fontId="1"/>
  </si>
  <si>
    <t>許容たるきスパン　（　ｍ　）</t>
    <rPh sb="0" eb="2">
      <t>キョヨウ</t>
    </rPh>
    <phoneticPr fontId="1"/>
  </si>
  <si>
    <t>曲げ応力度</t>
    <rPh sb="0" eb="1">
      <t>マ</t>
    </rPh>
    <rPh sb="2" eb="5">
      <t>オウリョクド</t>
    </rPh>
    <phoneticPr fontId="1"/>
  </si>
  <si>
    <t>材端の反力 ( N )</t>
    <rPh sb="0" eb="1">
      <t>ザイ</t>
    </rPh>
    <rPh sb="1" eb="2">
      <t>タン</t>
    </rPh>
    <rPh sb="3" eb="5">
      <t>ハンリョク</t>
    </rPh>
    <phoneticPr fontId="1"/>
  </si>
  <si>
    <t xml:space="preserve">  ( m )</t>
    <phoneticPr fontId="1"/>
  </si>
  <si>
    <t>L/150</t>
    <phoneticPr fontId="1"/>
  </si>
  <si>
    <t>L/100</t>
    <phoneticPr fontId="1"/>
  </si>
  <si>
    <t>→</t>
    <phoneticPr fontId="1"/>
  </si>
  <si>
    <t>N</t>
    <phoneticPr fontId="1"/>
  </si>
  <si>
    <r>
      <t>もや・むな木</t>
    </r>
    <r>
      <rPr>
        <sz val="16"/>
        <color theme="1"/>
        <rFont val="AR P丸ゴシック体E"/>
        <family val="3"/>
        <charset val="128"/>
      </rPr>
      <t>の</t>
    </r>
    <r>
      <rPr>
        <sz val="18"/>
        <color theme="1"/>
        <rFont val="AR P丸ゴシック体E"/>
        <family val="3"/>
        <charset val="128"/>
      </rPr>
      <t>スパン表</t>
    </r>
    <rPh sb="5" eb="6">
      <t>キ</t>
    </rPh>
    <rPh sb="10" eb="11">
      <t>ヒョウ</t>
    </rPh>
    <phoneticPr fontId="1"/>
  </si>
  <si>
    <t>母屋棟木間隔</t>
    <rPh sb="0" eb="2">
      <t>モヤ</t>
    </rPh>
    <rPh sb="2" eb="4">
      <t>ムナギ</t>
    </rPh>
    <rPh sb="4" eb="6">
      <t>カンカク</t>
    </rPh>
    <phoneticPr fontId="1"/>
  </si>
  <si>
    <t>母屋棟木スパン</t>
    <rPh sb="0" eb="2">
      <t>モヤ</t>
    </rPh>
    <rPh sb="2" eb="4">
      <t>ムナギ</t>
    </rPh>
    <phoneticPr fontId="1"/>
  </si>
  <si>
    <t>負担幅 ( m )</t>
    <rPh sb="0" eb="2">
      <t>フタン</t>
    </rPh>
    <rPh sb="2" eb="3">
      <t>ハバ</t>
    </rPh>
    <phoneticPr fontId="1"/>
  </si>
  <si>
    <t>材端の反力　(N)</t>
    <rPh sb="0" eb="1">
      <t>ザイ</t>
    </rPh>
    <rPh sb="1" eb="2">
      <t>タン</t>
    </rPh>
    <rPh sb="3" eb="5">
      <t>ハンリョク</t>
    </rPh>
    <phoneticPr fontId="1"/>
  </si>
  <si>
    <t>あ　　り</t>
  </si>
  <si>
    <t>(1.1*1.3*F/3) x</t>
    <phoneticPr fontId="1"/>
  </si>
  <si>
    <t>(2F/3) x0.8x</t>
    <phoneticPr fontId="1"/>
  </si>
  <si>
    <t>1.1*1.3*F/3</t>
    <phoneticPr fontId="1"/>
  </si>
  <si>
    <t>2F/3 * 0.8</t>
    <phoneticPr fontId="1"/>
  </si>
  <si>
    <t>(L/150)</t>
    <phoneticPr fontId="1"/>
  </si>
  <si>
    <t>(L/100)</t>
    <phoneticPr fontId="1"/>
  </si>
  <si>
    <t>（たわみ）</t>
    <phoneticPr fontId="1"/>
  </si>
  <si>
    <t>小屋梁スパン</t>
    <rPh sb="0" eb="2">
      <t>コヤ</t>
    </rPh>
    <rPh sb="2" eb="3">
      <t>ハリ</t>
    </rPh>
    <phoneticPr fontId="1"/>
  </si>
  <si>
    <t>小屋梁間隔</t>
    <rPh sb="0" eb="2">
      <t>コヤ</t>
    </rPh>
    <rPh sb="2" eb="3">
      <t>ハリ</t>
    </rPh>
    <rPh sb="3" eb="5">
      <t>カンカク</t>
    </rPh>
    <phoneticPr fontId="1"/>
  </si>
  <si>
    <t>（　図２　）</t>
    <rPh sb="2" eb="3">
      <t>ズ</t>
    </rPh>
    <phoneticPr fontId="1"/>
  </si>
  <si>
    <t>図２　小屋ばりの荷重形式</t>
    <rPh sb="0" eb="1">
      <t>ズ</t>
    </rPh>
    <rPh sb="3" eb="5">
      <t>コヤ</t>
    </rPh>
    <rPh sb="8" eb="10">
      <t>カジュウ</t>
    </rPh>
    <rPh sb="10" eb="12">
      <t>ケイシキ</t>
    </rPh>
    <phoneticPr fontId="1"/>
  </si>
  <si>
    <t>図１　　荷重形式</t>
    <rPh sb="0" eb="1">
      <t>ズ</t>
    </rPh>
    <rPh sb="4" eb="6">
      <t>カジュウ</t>
    </rPh>
    <rPh sb="6" eb="8">
      <t>ケイシキ</t>
    </rPh>
    <phoneticPr fontId="1"/>
  </si>
  <si>
    <t>天井荷重</t>
    <rPh sb="0" eb="2">
      <t>テンジョウ</t>
    </rPh>
    <rPh sb="2" eb="4">
      <t>カジュウ</t>
    </rPh>
    <phoneticPr fontId="1"/>
  </si>
  <si>
    <t>天　井　荷　重</t>
    <rPh sb="0" eb="1">
      <t>テン</t>
    </rPh>
    <rPh sb="2" eb="3">
      <t>イ</t>
    </rPh>
    <rPh sb="4" eb="5">
      <t>ニ</t>
    </rPh>
    <rPh sb="6" eb="7">
      <t>ジュウ</t>
    </rPh>
    <phoneticPr fontId="1"/>
  </si>
  <si>
    <t>〈天井面につき）</t>
    <rPh sb="1" eb="3">
      <t>テンジョウ</t>
    </rPh>
    <rPh sb="3" eb="4">
      <t>メン</t>
    </rPh>
    <phoneticPr fontId="1"/>
  </si>
  <si>
    <t>つり木</t>
    <rPh sb="2" eb="3">
      <t>キ</t>
    </rPh>
    <phoneticPr fontId="1"/>
  </si>
  <si>
    <t>野縁</t>
    <rPh sb="0" eb="2">
      <t>ヤエン</t>
    </rPh>
    <phoneticPr fontId="1"/>
  </si>
  <si>
    <t>石膏ボード</t>
    <rPh sb="0" eb="2">
      <t>セッコウ</t>
    </rPh>
    <phoneticPr fontId="1"/>
  </si>
  <si>
    <t>断熱材</t>
    <rPh sb="0" eb="3">
      <t>ダンネツザイ</t>
    </rPh>
    <phoneticPr fontId="1"/>
  </si>
  <si>
    <t>荷重のまとめ</t>
    <rPh sb="0" eb="2">
      <t>カジュウ</t>
    </rPh>
    <phoneticPr fontId="1"/>
  </si>
  <si>
    <t>等分布荷重</t>
    <rPh sb="0" eb="1">
      <t>トウ</t>
    </rPh>
    <rPh sb="1" eb="3">
      <t>ブンプ</t>
    </rPh>
    <rPh sb="3" eb="5">
      <t>カジュウ</t>
    </rPh>
    <phoneticPr fontId="1"/>
  </si>
  <si>
    <t>(N/m)</t>
    <phoneticPr fontId="1"/>
  </si>
  <si>
    <t>小屋ばり自重</t>
    <rPh sb="0" eb="2">
      <t>コヤ</t>
    </rPh>
    <rPh sb="4" eb="6">
      <t>ジジュウ</t>
    </rPh>
    <phoneticPr fontId="1"/>
  </si>
  <si>
    <t>長期・常時</t>
    <rPh sb="0" eb="2">
      <t>チョウキ</t>
    </rPh>
    <rPh sb="3" eb="5">
      <t>ジョウジ</t>
    </rPh>
    <phoneticPr fontId="1"/>
  </si>
  <si>
    <t>小屋づかの反力　( N )</t>
    <rPh sb="0" eb="2">
      <t>コヤ</t>
    </rPh>
    <rPh sb="5" eb="7">
      <t>ハンリョク</t>
    </rPh>
    <phoneticPr fontId="1"/>
  </si>
  <si>
    <t>case ( c )</t>
    <phoneticPr fontId="1"/>
  </si>
  <si>
    <t xml:space="preserve">case ( d ) </t>
    <phoneticPr fontId="1"/>
  </si>
  <si>
    <t>( N )</t>
    <phoneticPr fontId="1"/>
  </si>
  <si>
    <t>　(N/m)</t>
  </si>
  <si>
    <t>case (a)</t>
    <phoneticPr fontId="1"/>
  </si>
  <si>
    <t>P1</t>
    <phoneticPr fontId="1"/>
  </si>
  <si>
    <t>材端からの位置</t>
    <rPh sb="0" eb="1">
      <t>ザイ</t>
    </rPh>
    <rPh sb="1" eb="2">
      <t>タン</t>
    </rPh>
    <rPh sb="5" eb="7">
      <t>イチ</t>
    </rPh>
    <phoneticPr fontId="1"/>
  </si>
  <si>
    <t>荷重負担範囲</t>
    <rPh sb="0" eb="2">
      <t>カジュウ</t>
    </rPh>
    <rPh sb="2" eb="4">
      <t>フタン</t>
    </rPh>
    <rPh sb="4" eb="6">
      <t>ハンイ</t>
    </rPh>
    <phoneticPr fontId="1"/>
  </si>
  <si>
    <t>たて</t>
    <phoneticPr fontId="1"/>
  </si>
  <si>
    <t>よこ</t>
    <phoneticPr fontId="1"/>
  </si>
  <si>
    <t>case ( b )</t>
    <phoneticPr fontId="1"/>
  </si>
  <si>
    <t>P2</t>
    <phoneticPr fontId="1"/>
  </si>
  <si>
    <t>合計</t>
    <rPh sb="0" eb="2">
      <t>ゴウケイ</t>
    </rPh>
    <phoneticPr fontId="1"/>
  </si>
  <si>
    <t>もや間隔</t>
    <rPh sb="2" eb="4">
      <t>カンカク</t>
    </rPh>
    <phoneticPr fontId="1"/>
  </si>
  <si>
    <t>( N )</t>
    <phoneticPr fontId="1"/>
  </si>
  <si>
    <t>合　　計</t>
    <rPh sb="0" eb="1">
      <t>ゴウ</t>
    </rPh>
    <rPh sb="3" eb="4">
      <t>ケイ</t>
    </rPh>
    <phoneticPr fontId="1"/>
  </si>
  <si>
    <t>( N/mm^2 )</t>
    <phoneticPr fontId="1"/>
  </si>
  <si>
    <t xml:space="preserve"> ( N・m )</t>
    <phoneticPr fontId="1"/>
  </si>
  <si>
    <r>
      <t>小屋ばり</t>
    </r>
    <r>
      <rPr>
        <sz val="16"/>
        <color theme="1"/>
        <rFont val="AR P丸ゴシック体E"/>
        <family val="3"/>
        <charset val="128"/>
      </rPr>
      <t>の</t>
    </r>
    <r>
      <rPr>
        <sz val="18"/>
        <color theme="1"/>
        <rFont val="AR P丸ゴシック体E"/>
        <family val="3"/>
        <charset val="128"/>
      </rPr>
      <t>スパン表</t>
    </r>
    <rPh sb="0" eb="2">
      <t>コヤ</t>
    </rPh>
    <rPh sb="8" eb="9">
      <t>ヒョウ</t>
    </rPh>
    <phoneticPr fontId="1"/>
  </si>
  <si>
    <t>1.3x(1.1F/3) x</t>
    <phoneticPr fontId="1"/>
  </si>
  <si>
    <t>0.8x(２F/3) x</t>
    <phoneticPr fontId="1"/>
  </si>
  <si>
    <t>見なし等分布荷重</t>
    <rPh sb="0" eb="1">
      <t>ミ</t>
    </rPh>
    <rPh sb="3" eb="4">
      <t>トウ</t>
    </rPh>
    <rPh sb="4" eb="6">
      <t>ブンプ</t>
    </rPh>
    <rPh sb="6" eb="8">
      <t>カジュウ</t>
    </rPh>
    <phoneticPr fontId="1"/>
  </si>
  <si>
    <t>M　 =（（</t>
    <phoneticPr fontId="1"/>
  </si>
  <si>
    <t xml:space="preserve">case ( d ) </t>
    <phoneticPr fontId="1"/>
  </si>
  <si>
    <t>せん断応力度</t>
    <rPh sb="2" eb="3">
      <t>ダン</t>
    </rPh>
    <rPh sb="3" eb="5">
      <t>オウリョク</t>
    </rPh>
    <rPh sb="5" eb="6">
      <t>ド</t>
    </rPh>
    <phoneticPr fontId="1"/>
  </si>
  <si>
    <t>Q    =</t>
    <phoneticPr fontId="1"/>
  </si>
  <si>
    <t>/2     =</t>
    <phoneticPr fontId="1"/>
  </si>
  <si>
    <t>（固定荷重に対して）</t>
    <rPh sb="1" eb="3">
      <t>コテイ</t>
    </rPh>
    <rPh sb="3" eb="5">
      <t>カジュウ</t>
    </rPh>
    <rPh sb="6" eb="7">
      <t>タイ</t>
    </rPh>
    <phoneticPr fontId="1"/>
  </si>
  <si>
    <t>(L/100)</t>
    <phoneticPr fontId="1"/>
  </si>
  <si>
    <t>(固定＋積雪荷重に対して）</t>
    <rPh sb="1" eb="3">
      <t>コテイ</t>
    </rPh>
    <rPh sb="4" eb="6">
      <t>セキセツ</t>
    </rPh>
    <rPh sb="6" eb="8">
      <t>カジュウ</t>
    </rPh>
    <rPh sb="9" eb="10">
      <t>タイ</t>
    </rPh>
    <phoneticPr fontId="1"/>
  </si>
  <si>
    <t>（N/m^2)</t>
    <phoneticPr fontId="1"/>
  </si>
  <si>
    <t>（床大梁間隔）x（床小はり間隔）</t>
    <rPh sb="1" eb="2">
      <t>ユカ</t>
    </rPh>
    <rPh sb="2" eb="3">
      <t>ダイ</t>
    </rPh>
    <rPh sb="3" eb="4">
      <t>ハリ</t>
    </rPh>
    <rPh sb="4" eb="6">
      <t>カンカク</t>
    </rPh>
    <rPh sb="9" eb="10">
      <t>ユカ</t>
    </rPh>
    <rPh sb="10" eb="11">
      <t>ショウ</t>
    </rPh>
    <rPh sb="13" eb="15">
      <t>カンカク</t>
    </rPh>
    <phoneticPr fontId="1"/>
  </si>
  <si>
    <t>( 2xF/3 )x0.8</t>
    <phoneticPr fontId="1"/>
  </si>
  <si>
    <t>( 1.1xF/3 )x1.3</t>
    <phoneticPr fontId="1"/>
  </si>
  <si>
    <t>(1.1xF/3 ) x1.3x</t>
    <phoneticPr fontId="1"/>
  </si>
  <si>
    <t>(2xF/3 ) x0.8x</t>
    <phoneticPr fontId="1"/>
  </si>
  <si>
    <t>( a )</t>
  </si>
  <si>
    <t>見なし等分布荷重</t>
    <rPh sb="0" eb="1">
      <t>ミ</t>
    </rPh>
    <rPh sb="3" eb="4">
      <t>トウ</t>
    </rPh>
    <rPh sb="4" eb="6">
      <t>ブンプ</t>
    </rPh>
    <rPh sb="6" eb="8">
      <t>カジュウ</t>
    </rPh>
    <phoneticPr fontId="1"/>
  </si>
  <si>
    <t>すぎ</t>
    <phoneticPr fontId="1"/>
  </si>
  <si>
    <t>ひのき</t>
    <phoneticPr fontId="1"/>
  </si>
  <si>
    <t>あかまつ</t>
    <phoneticPr fontId="1"/>
  </si>
  <si>
    <t>すぎ</t>
    <phoneticPr fontId="1"/>
  </si>
  <si>
    <t>あかまつ</t>
    <phoneticPr fontId="1"/>
  </si>
  <si>
    <t>根 太</t>
    <rPh sb="0" eb="1">
      <t>ネ</t>
    </rPh>
    <rPh sb="2" eb="3">
      <t>フトシ</t>
    </rPh>
    <phoneticPr fontId="1"/>
  </si>
  <si>
    <r>
      <t>M</t>
    </r>
    <r>
      <rPr>
        <sz val="9"/>
        <color theme="1"/>
        <rFont val="ＭＳ Ｐゴシック"/>
        <family val="3"/>
        <charset val="128"/>
        <scheme val="minor"/>
      </rPr>
      <t>長 x 1000</t>
    </r>
    <rPh sb="1" eb="2">
      <t>ナガ</t>
    </rPh>
    <phoneticPr fontId="1"/>
  </si>
  <si>
    <t>M長 x 1000</t>
    <rPh sb="1" eb="2">
      <t>ナガ</t>
    </rPh>
    <phoneticPr fontId="1"/>
  </si>
  <si>
    <t>（断面積）</t>
    <rPh sb="1" eb="4">
      <t>ダンメンセキ</t>
    </rPh>
    <phoneticPr fontId="1"/>
  </si>
  <si>
    <t>判　　定</t>
    <rPh sb="0" eb="1">
      <t>ハン</t>
    </rPh>
    <rPh sb="3" eb="4">
      <t>サダム</t>
    </rPh>
    <phoneticPr fontId="1"/>
  </si>
  <si>
    <t xml:space="preserve"> case ( c )</t>
    <phoneticPr fontId="1"/>
  </si>
  <si>
    <t>P2</t>
    <phoneticPr fontId="1"/>
  </si>
  <si>
    <t>(  case ( c ) )</t>
    <phoneticPr fontId="1"/>
  </si>
  <si>
    <t>( case ( c ) )</t>
    <phoneticPr fontId="1"/>
  </si>
  <si>
    <t>せん断力</t>
    <rPh sb="2" eb="3">
      <t>ダン</t>
    </rPh>
    <rPh sb="3" eb="4">
      <t>リョク</t>
    </rPh>
    <phoneticPr fontId="1"/>
  </si>
  <si>
    <t>合否判定</t>
    <rPh sb="0" eb="4">
      <t>ゴウヒハンテイ</t>
    </rPh>
    <phoneticPr fontId="1"/>
  </si>
  <si>
    <t>(  case ( c )　)</t>
    <phoneticPr fontId="1"/>
  </si>
  <si>
    <r>
      <t>M</t>
    </r>
    <r>
      <rPr>
        <sz val="9"/>
        <color theme="1"/>
        <rFont val="ＭＳ Ｐゴシック"/>
        <family val="3"/>
        <charset val="128"/>
        <scheme val="minor"/>
      </rPr>
      <t>長</t>
    </r>
    <r>
      <rPr>
        <sz val="9"/>
        <color theme="1"/>
        <rFont val="ＭＳ Ｐゴシック"/>
        <family val="2"/>
        <charset val="128"/>
        <scheme val="minor"/>
      </rPr>
      <t xml:space="preserve"> </t>
    </r>
    <r>
      <rPr>
        <sz val="9"/>
        <color theme="1"/>
        <rFont val="ＭＳ Ｐゴシック"/>
        <family val="3"/>
        <charset val="128"/>
        <scheme val="minor"/>
      </rPr>
      <t>x 1000</t>
    </r>
    <rPh sb="1" eb="2">
      <t>ナガ</t>
    </rPh>
    <phoneticPr fontId="1"/>
  </si>
  <si>
    <r>
      <t>σb</t>
    </r>
    <r>
      <rPr>
        <vertAlign val="subscript"/>
        <sz val="9"/>
        <rFont val="ＭＳ Ｐゴシック"/>
        <family val="3"/>
        <charset val="128"/>
      </rPr>
      <t>長雪</t>
    </r>
    <r>
      <rPr>
        <sz val="9"/>
        <rFont val="ＭＳ Ｐゴシック"/>
        <family val="3"/>
        <charset val="128"/>
      </rPr>
      <t>＝</t>
    </r>
    <rPh sb="2" eb="3">
      <t>チョウ</t>
    </rPh>
    <rPh sb="3" eb="4">
      <t>ユキ</t>
    </rPh>
    <phoneticPr fontId="5"/>
  </si>
  <si>
    <r>
      <t>σb</t>
    </r>
    <r>
      <rPr>
        <vertAlign val="subscript"/>
        <sz val="9"/>
        <rFont val="ＭＳ Ｐゴシック"/>
        <family val="3"/>
        <charset val="128"/>
      </rPr>
      <t>短雪</t>
    </r>
    <r>
      <rPr>
        <sz val="9"/>
        <rFont val="ＭＳ Ｐゴシック"/>
        <family val="3"/>
        <charset val="128"/>
      </rPr>
      <t>＝</t>
    </r>
    <rPh sb="2" eb="3">
      <t>タン</t>
    </rPh>
    <rPh sb="3" eb="4">
      <t>ユキ</t>
    </rPh>
    <phoneticPr fontId="5"/>
  </si>
  <si>
    <t>（長期）</t>
    <rPh sb="1" eb="3">
      <t>チョウキ</t>
    </rPh>
    <phoneticPr fontId="1"/>
  </si>
  <si>
    <t>（長期積雪）</t>
    <rPh sb="1" eb="3">
      <t>チョウキ</t>
    </rPh>
    <rPh sb="3" eb="5">
      <t>セキセツ</t>
    </rPh>
    <phoneticPr fontId="1"/>
  </si>
  <si>
    <t>（短期積雪）</t>
    <rPh sb="1" eb="3">
      <t>タンキ</t>
    </rPh>
    <rPh sb="3" eb="5">
      <t>セキセツ</t>
    </rPh>
    <phoneticPr fontId="1"/>
  </si>
  <si>
    <t>曲げﾓｰﾒﾝﾄ</t>
    <rPh sb="0" eb="1">
      <t>マ</t>
    </rPh>
    <phoneticPr fontId="1"/>
  </si>
  <si>
    <t>の 単位重量</t>
    <rPh sb="2" eb="4">
      <t>タンイ</t>
    </rPh>
    <rPh sb="4" eb="6">
      <t>ジュウリョウ</t>
    </rPh>
    <phoneticPr fontId="1"/>
  </si>
  <si>
    <t>(積雪の単位重量）ｘ(垂直積雪量）ｘ（屋根形状係数）</t>
    <rPh sb="1" eb="3">
      <t>セキセツ</t>
    </rPh>
    <rPh sb="4" eb="6">
      <t>タンイ</t>
    </rPh>
    <rPh sb="6" eb="8">
      <t>ジュウリョウ</t>
    </rPh>
    <rPh sb="11" eb="13">
      <t>スイチョク</t>
    </rPh>
    <rPh sb="13" eb="16">
      <t>セキセツリョウ</t>
    </rPh>
    <rPh sb="19" eb="21">
      <t>ヤネ</t>
    </rPh>
    <rPh sb="21" eb="23">
      <t>ケイジョウ</t>
    </rPh>
    <rPh sb="23" eb="25">
      <t>ケイスウ</t>
    </rPh>
    <phoneticPr fontId="1"/>
  </si>
  <si>
    <t>(積雪の単位重量）ｘ垂直積雪量）ｘ（屋根形状係数）x 0.7</t>
    <rPh sb="1" eb="3">
      <t>セキセツ</t>
    </rPh>
    <rPh sb="4" eb="6">
      <t>タンイ</t>
    </rPh>
    <rPh sb="6" eb="8">
      <t>ジュウリョウ</t>
    </rPh>
    <rPh sb="10" eb="12">
      <t>スイチョク</t>
    </rPh>
    <rPh sb="12" eb="15">
      <t>セキセツリョウ</t>
    </rPh>
    <rPh sb="18" eb="20">
      <t>ヤネ</t>
    </rPh>
    <rPh sb="20" eb="22">
      <t>ケイジョウ</t>
    </rPh>
    <rPh sb="22" eb="24">
      <t>ケイスウ</t>
    </rPh>
    <phoneticPr fontId="1"/>
  </si>
  <si>
    <t>もや・むな木が受ける荷重</t>
    <rPh sb="5" eb="6">
      <t>キ</t>
    </rPh>
    <rPh sb="7" eb="8">
      <t>ウ</t>
    </rPh>
    <rPh sb="10" eb="12">
      <t>カジュウ</t>
    </rPh>
    <phoneticPr fontId="1"/>
  </si>
  <si>
    <t>許容たるきスパン</t>
    <rPh sb="0" eb="2">
      <t>キョヨウ</t>
    </rPh>
    <phoneticPr fontId="1"/>
  </si>
  <si>
    <t>（強度）</t>
    <rPh sb="1" eb="3">
      <t>キョウド</t>
    </rPh>
    <phoneticPr fontId="1"/>
  </si>
  <si>
    <t>M短雪 x 1000</t>
    <rPh sb="1" eb="2">
      <t>タン</t>
    </rPh>
    <rPh sb="2" eb="3">
      <t>ユキ</t>
    </rPh>
    <phoneticPr fontId="1"/>
  </si>
  <si>
    <t>M長雪 x 1000</t>
    <rPh sb="1" eb="2">
      <t>ナガ</t>
    </rPh>
    <rPh sb="2" eb="3">
      <t>ユキ</t>
    </rPh>
    <phoneticPr fontId="1"/>
  </si>
  <si>
    <t>M短雪 x 1000</t>
    <rPh sb="1" eb="2">
      <t>ミジカイ</t>
    </rPh>
    <rPh sb="2" eb="3">
      <t>ユキ</t>
    </rPh>
    <phoneticPr fontId="1"/>
  </si>
  <si>
    <t>(積雪の単位重量）ｘ〈垂直積雪量）ｘ（屋根形状係数）</t>
    <rPh sb="1" eb="3">
      <t>セキセツ</t>
    </rPh>
    <rPh sb="4" eb="6">
      <t>タンイ</t>
    </rPh>
    <rPh sb="6" eb="8">
      <t>ジュウリョウ</t>
    </rPh>
    <rPh sb="11" eb="13">
      <t>スイチョク</t>
    </rPh>
    <rPh sb="13" eb="16">
      <t>セキセツリョウ</t>
    </rPh>
    <rPh sb="19" eb="21">
      <t>ヤネ</t>
    </rPh>
    <rPh sb="21" eb="23">
      <t>ケイジョウ</t>
    </rPh>
    <rPh sb="23" eb="25">
      <t>ケイスウ</t>
    </rPh>
    <phoneticPr fontId="1"/>
  </si>
  <si>
    <t>(積雪の単位重量）ｘ(垂直積雪量）ｘ（屋根形状係数）x 0.7</t>
    <rPh sb="1" eb="3">
      <t>セキセツ</t>
    </rPh>
    <rPh sb="4" eb="6">
      <t>タンイ</t>
    </rPh>
    <rPh sb="6" eb="8">
      <t>ジュウリョウ</t>
    </rPh>
    <rPh sb="11" eb="13">
      <t>スイチョク</t>
    </rPh>
    <rPh sb="13" eb="16">
      <t>セキセツリョウ</t>
    </rPh>
    <rPh sb="19" eb="21">
      <t>ヤネ</t>
    </rPh>
    <rPh sb="21" eb="23">
      <t>ケイジョウ</t>
    </rPh>
    <rPh sb="23" eb="25">
      <t>ケイスウ</t>
    </rPh>
    <phoneticPr fontId="1"/>
  </si>
  <si>
    <t>小屋ばりが受ける荷重</t>
    <rPh sb="0" eb="2">
      <t>コヤ</t>
    </rPh>
    <rPh sb="5" eb="6">
      <t>ウ</t>
    </rPh>
    <rPh sb="8" eb="10">
      <t>カジュウ</t>
    </rPh>
    <phoneticPr fontId="1"/>
  </si>
  <si>
    <t>たわみ</t>
    <phoneticPr fontId="1"/>
  </si>
  <si>
    <r>
      <t>軒げた</t>
    </r>
    <r>
      <rPr>
        <sz val="16"/>
        <color theme="1"/>
        <rFont val="AR P丸ゴシック体E"/>
        <family val="3"/>
        <charset val="128"/>
      </rPr>
      <t>の</t>
    </r>
    <r>
      <rPr>
        <sz val="18"/>
        <color theme="1"/>
        <rFont val="AR P丸ゴシック体E"/>
        <family val="3"/>
        <charset val="128"/>
      </rPr>
      <t>スパン表</t>
    </r>
    <rPh sb="0" eb="1">
      <t>ノキ</t>
    </rPh>
    <rPh sb="7" eb="8">
      <t>ヒョウ</t>
    </rPh>
    <phoneticPr fontId="1"/>
  </si>
  <si>
    <t>（　図３　）</t>
    <rPh sb="2" eb="3">
      <t>ズ</t>
    </rPh>
    <phoneticPr fontId="1"/>
  </si>
  <si>
    <t>図３　軒げたの荷重形式</t>
    <rPh sb="0" eb="1">
      <t>ズ</t>
    </rPh>
    <rPh sb="3" eb="4">
      <t>ノキ</t>
    </rPh>
    <rPh sb="7" eb="9">
      <t>カジュウ</t>
    </rPh>
    <rPh sb="9" eb="11">
      <t>ケイシキ</t>
    </rPh>
    <phoneticPr fontId="1"/>
  </si>
  <si>
    <t>P：　小屋ばり反力</t>
    <rPh sb="3" eb="5">
      <t>コヤ</t>
    </rPh>
    <rPh sb="7" eb="9">
      <t>ハンリョク</t>
    </rPh>
    <phoneticPr fontId="1"/>
  </si>
  <si>
    <t>,　　 L : 軒げたスパン</t>
    <rPh sb="8" eb="9">
      <t>ノキ</t>
    </rPh>
    <phoneticPr fontId="1"/>
  </si>
  <si>
    <t>軒げたスパン</t>
    <rPh sb="0" eb="1">
      <t>ノキ</t>
    </rPh>
    <phoneticPr fontId="1"/>
  </si>
  <si>
    <t>小屋梁間隔</t>
    <rPh sb="0" eb="3">
      <t>コヤバリ</t>
    </rPh>
    <rPh sb="3" eb="5">
      <t>カンカク</t>
    </rPh>
    <phoneticPr fontId="1"/>
  </si>
  <si>
    <t>軒げた自重</t>
    <rPh sb="0" eb="1">
      <t>ノキ</t>
    </rPh>
    <rPh sb="3" eb="5">
      <t>ジジュウ</t>
    </rPh>
    <phoneticPr fontId="1"/>
  </si>
  <si>
    <t>軒げたが受ける荷重</t>
    <rPh sb="0" eb="1">
      <t>ノキ</t>
    </rPh>
    <rPh sb="4" eb="5">
      <t>ウ</t>
    </rPh>
    <rPh sb="7" eb="9">
      <t>カジュウ</t>
    </rPh>
    <phoneticPr fontId="1"/>
  </si>
  <si>
    <t>小屋梁自重</t>
    <rPh sb="0" eb="2">
      <t>コヤ</t>
    </rPh>
    <rPh sb="2" eb="3">
      <t>ハリ</t>
    </rPh>
    <rPh sb="3" eb="5">
      <t>ジジュウ</t>
    </rPh>
    <phoneticPr fontId="1"/>
  </si>
  <si>
    <t>(mm)</t>
    <phoneticPr fontId="1"/>
  </si>
  <si>
    <t>case (c )</t>
    <phoneticPr fontId="1"/>
  </si>
  <si>
    <t>case (d )</t>
    <phoneticPr fontId="1"/>
  </si>
  <si>
    <t>軒天荷重</t>
    <rPh sb="0" eb="2">
      <t>ノキテン</t>
    </rPh>
    <rPh sb="2" eb="4">
      <t>カジュウ</t>
    </rPh>
    <phoneticPr fontId="1"/>
  </si>
  <si>
    <t>軒 　天 　荷 　重</t>
    <rPh sb="0" eb="1">
      <t>ノキ</t>
    </rPh>
    <rPh sb="3" eb="4">
      <t>テン</t>
    </rPh>
    <rPh sb="6" eb="7">
      <t>ニ</t>
    </rPh>
    <rPh sb="9" eb="10">
      <t>ジュウ</t>
    </rPh>
    <phoneticPr fontId="1"/>
  </si>
  <si>
    <t xml:space="preserve">   ************</t>
    <phoneticPr fontId="1"/>
  </si>
  <si>
    <t>屋根荷重負担幅</t>
    <rPh sb="0" eb="2">
      <t>ヤネ</t>
    </rPh>
    <rPh sb="2" eb="4">
      <t>カジュウ</t>
    </rPh>
    <rPh sb="4" eb="6">
      <t>フタン</t>
    </rPh>
    <rPh sb="6" eb="7">
      <t>ハバ</t>
    </rPh>
    <phoneticPr fontId="1"/>
  </si>
  <si>
    <t>軒の出</t>
    <rPh sb="0" eb="1">
      <t>ノキ</t>
    </rPh>
    <rPh sb="2" eb="3">
      <t>デ</t>
    </rPh>
    <phoneticPr fontId="1"/>
  </si>
  <si>
    <t>◯　一般地、多雪区域とも、屋根勾配による積雪荷重の低減あり</t>
    <rPh sb="2" eb="5">
      <t>イッパンチ</t>
    </rPh>
    <rPh sb="6" eb="8">
      <t>タセツ</t>
    </rPh>
    <rPh sb="8" eb="10">
      <t>クイキ</t>
    </rPh>
    <rPh sb="13" eb="15">
      <t>ヤネ</t>
    </rPh>
    <rPh sb="15" eb="17">
      <t>コウバイ</t>
    </rPh>
    <rPh sb="20" eb="22">
      <t>セキセツ</t>
    </rPh>
    <rPh sb="22" eb="24">
      <t>カジュウ</t>
    </rPh>
    <rPh sb="25" eb="27">
      <t>テイゲン</t>
    </rPh>
    <phoneticPr fontId="1"/>
  </si>
  <si>
    <t>◯　垂木スパンは、基準寸法以下。</t>
    <rPh sb="2" eb="4">
      <t>タルキ</t>
    </rPh>
    <rPh sb="9" eb="11">
      <t>キジュン</t>
    </rPh>
    <rPh sb="11" eb="13">
      <t>スンポウ</t>
    </rPh>
    <rPh sb="13" eb="15">
      <t>イカ</t>
    </rPh>
    <phoneticPr fontId="1"/>
  </si>
  <si>
    <t>◯　軒の出は、一般地：90cm以下、多雪区域(100cm)：60cm以下、多雪区域(150cm)：45cm以下、多雪区域(200cm)：30cm以下とする。</t>
    <rPh sb="2" eb="3">
      <t>ノキ</t>
    </rPh>
    <rPh sb="4" eb="5">
      <t>デ</t>
    </rPh>
    <rPh sb="7" eb="10">
      <t>イッパンチ</t>
    </rPh>
    <rPh sb="15" eb="17">
      <t>イカ</t>
    </rPh>
    <rPh sb="18" eb="20">
      <t>タセツ</t>
    </rPh>
    <rPh sb="20" eb="22">
      <t>クイキ</t>
    </rPh>
    <rPh sb="34" eb="36">
      <t>イカ</t>
    </rPh>
    <rPh sb="37" eb="39">
      <t>タセツ</t>
    </rPh>
    <rPh sb="39" eb="41">
      <t>クイキ</t>
    </rPh>
    <rPh sb="53" eb="55">
      <t>イカ</t>
    </rPh>
    <rPh sb="56" eb="58">
      <t>タセツ</t>
    </rPh>
    <rPh sb="58" eb="60">
      <t>クイキ</t>
    </rPh>
    <rPh sb="72" eb="74">
      <t>イカ</t>
    </rPh>
    <phoneticPr fontId="1"/>
  </si>
  <si>
    <t>その他の設計条件</t>
    <rPh sb="2" eb="3">
      <t>タ</t>
    </rPh>
    <rPh sb="4" eb="6">
      <t>セッケイ</t>
    </rPh>
    <rPh sb="6" eb="8">
      <t>ジョウケン</t>
    </rPh>
    <phoneticPr fontId="1"/>
  </si>
  <si>
    <t>（等分布＋集中）の合計</t>
    <rPh sb="1" eb="2">
      <t>トウ</t>
    </rPh>
    <rPh sb="2" eb="4">
      <t>ブンプ</t>
    </rPh>
    <rPh sb="5" eb="7">
      <t>シュウチュウ</t>
    </rPh>
    <rPh sb="9" eb="11">
      <t>ゴウケイ</t>
    </rPh>
    <phoneticPr fontId="1"/>
  </si>
  <si>
    <t>cm</t>
    <phoneticPr fontId="1"/>
  </si>
  <si>
    <t>P1</t>
    <phoneticPr fontId="1"/>
  </si>
  <si>
    <t>P2</t>
    <phoneticPr fontId="1"/>
  </si>
  <si>
    <t>(m)</t>
    <phoneticPr fontId="1"/>
  </si>
  <si>
    <t>(寸法調整係数）</t>
    <rPh sb="1" eb="3">
      <t>スンポウ</t>
    </rPh>
    <rPh sb="3" eb="5">
      <t>チョウセイ</t>
    </rPh>
    <rPh sb="5" eb="7">
      <t>ケイスウ</t>
    </rPh>
    <phoneticPr fontId="1"/>
  </si>
  <si>
    <t>μb  =</t>
    <phoneticPr fontId="1"/>
  </si>
  <si>
    <t>( cos (1.5β））＾１／２　＝</t>
    <phoneticPr fontId="1"/>
  </si>
  <si>
    <r>
      <t xml:space="preserve">(N/m^2/cm)  </t>
    </r>
    <r>
      <rPr>
        <sz val="10"/>
        <color theme="1"/>
        <rFont val="ＭＳ Ｐゴシック"/>
        <family val="3"/>
        <charset val="128"/>
        <scheme val="minor"/>
      </rPr>
      <t>→</t>
    </r>
    <phoneticPr fontId="1"/>
  </si>
  <si>
    <t>外壁荷重</t>
    <rPh sb="0" eb="2">
      <t>ガイヘキ</t>
    </rPh>
    <rPh sb="2" eb="4">
      <t>カジュウ</t>
    </rPh>
    <phoneticPr fontId="1"/>
  </si>
  <si>
    <t>外壁面につき</t>
    <rPh sb="0" eb="2">
      <t>ガイヘキ</t>
    </rPh>
    <rPh sb="2" eb="3">
      <t>メン</t>
    </rPh>
    <phoneticPr fontId="1"/>
  </si>
  <si>
    <t>2F床</t>
    <rPh sb="2" eb="3">
      <t>ユカ</t>
    </rPh>
    <phoneticPr fontId="1"/>
  </si>
  <si>
    <t>軸　　組</t>
    <rPh sb="0" eb="1">
      <t>ジク</t>
    </rPh>
    <rPh sb="3" eb="4">
      <t>クミ</t>
    </rPh>
    <phoneticPr fontId="1"/>
  </si>
  <si>
    <t>外壁材</t>
    <rPh sb="0" eb="2">
      <t>ガイヘキ</t>
    </rPh>
    <rPh sb="2" eb="3">
      <t>ザイ</t>
    </rPh>
    <phoneticPr fontId="1"/>
  </si>
  <si>
    <t>内装仕上げ材</t>
    <rPh sb="0" eb="2">
      <t>ナイソウ</t>
    </rPh>
    <rPh sb="2" eb="4">
      <t>シア</t>
    </rPh>
    <rPh sb="5" eb="6">
      <t>ザイ</t>
    </rPh>
    <phoneticPr fontId="1"/>
  </si>
  <si>
    <r>
      <t xml:space="preserve">(N/m^2/cm)  </t>
    </r>
    <r>
      <rPr>
        <sz val="10"/>
        <color theme="1"/>
        <rFont val="ＭＳ Ｐゴシック"/>
        <family val="3"/>
        <charset val="128"/>
        <scheme val="minor"/>
      </rPr>
      <t>→</t>
    </r>
    <phoneticPr fontId="1"/>
  </si>
  <si>
    <t>G</t>
    <phoneticPr fontId="1"/>
  </si>
  <si>
    <t>床荷重負担幅</t>
    <rPh sb="0" eb="1">
      <t>ユカ</t>
    </rPh>
    <rPh sb="1" eb="3">
      <t>カジュウ</t>
    </rPh>
    <rPh sb="3" eb="5">
      <t>フタン</t>
    </rPh>
    <rPh sb="5" eb="6">
      <t>ハバ</t>
    </rPh>
    <phoneticPr fontId="1"/>
  </si>
  <si>
    <t>胴差が受ける荷重</t>
    <rPh sb="0" eb="2">
      <t>ドウサ</t>
    </rPh>
    <rPh sb="3" eb="4">
      <t>ウ</t>
    </rPh>
    <rPh sb="6" eb="8">
      <t>カジュウ</t>
    </rPh>
    <phoneticPr fontId="1"/>
  </si>
  <si>
    <t>床荷重（許容応力度用）</t>
    <rPh sb="0" eb="1">
      <t>ユカ</t>
    </rPh>
    <rPh sb="1" eb="3">
      <t>カジュウ</t>
    </rPh>
    <rPh sb="4" eb="9">
      <t>キョヨウオウリョクド</t>
    </rPh>
    <rPh sb="9" eb="10">
      <t>ヨウ</t>
    </rPh>
    <phoneticPr fontId="1"/>
  </si>
  <si>
    <t>床荷重　　（たわみ用）</t>
    <rPh sb="0" eb="1">
      <t>ユカ</t>
    </rPh>
    <rPh sb="1" eb="3">
      <t>カジュウ</t>
    </rPh>
    <rPh sb="9" eb="10">
      <t>ヨウ</t>
    </rPh>
    <phoneticPr fontId="1"/>
  </si>
  <si>
    <t>胴差スパン</t>
    <rPh sb="0" eb="1">
      <t>ドウ</t>
    </rPh>
    <rPh sb="1" eb="2">
      <t>サ</t>
    </rPh>
    <phoneticPr fontId="1"/>
  </si>
  <si>
    <t>2階階高</t>
    <rPh sb="1" eb="2">
      <t>カイ</t>
    </rPh>
    <rPh sb="2" eb="4">
      <t>カイダカ</t>
    </rPh>
    <phoneticPr fontId="1"/>
  </si>
  <si>
    <t>胴差自重</t>
    <rPh sb="0" eb="1">
      <t>ドウ</t>
    </rPh>
    <rPh sb="1" eb="2">
      <t>サ</t>
    </rPh>
    <rPh sb="2" eb="4">
      <t>ジジュウ</t>
    </rPh>
    <phoneticPr fontId="1"/>
  </si>
  <si>
    <t>たわみ計算用</t>
    <rPh sb="3" eb="5">
      <t>ケイサン</t>
    </rPh>
    <rPh sb="5" eb="6">
      <t>ヨウ</t>
    </rPh>
    <phoneticPr fontId="1"/>
  </si>
  <si>
    <t>＋　P</t>
    <phoneticPr fontId="1"/>
  </si>
  <si>
    <t>許容応力度用</t>
    <rPh sb="0" eb="2">
      <t>キョヨウ</t>
    </rPh>
    <rPh sb="2" eb="5">
      <t>オウリョクド</t>
    </rPh>
    <rPh sb="5" eb="6">
      <t>ヨウ</t>
    </rPh>
    <phoneticPr fontId="1"/>
  </si>
  <si>
    <t>旧住木仕様（軽い外壁）</t>
    <rPh sb="0" eb="1">
      <t>キュウ</t>
    </rPh>
    <rPh sb="1" eb="2">
      <t>ジュウ</t>
    </rPh>
    <rPh sb="2" eb="3">
      <t>キ</t>
    </rPh>
    <rPh sb="3" eb="5">
      <t>シヨウ</t>
    </rPh>
    <rPh sb="6" eb="7">
      <t>カル</t>
    </rPh>
    <rPh sb="8" eb="10">
      <t>ガイヘキ</t>
    </rPh>
    <phoneticPr fontId="1"/>
  </si>
  <si>
    <t>旧住木仕様（重い外壁）</t>
    <rPh sb="0" eb="1">
      <t>キュウ</t>
    </rPh>
    <rPh sb="1" eb="2">
      <t>ジュウ</t>
    </rPh>
    <rPh sb="2" eb="3">
      <t>キ</t>
    </rPh>
    <rPh sb="3" eb="5">
      <t>シヨウ</t>
    </rPh>
    <rPh sb="6" eb="7">
      <t>オモ</t>
    </rPh>
    <rPh sb="8" eb="10">
      <t>ガイヘキ</t>
    </rPh>
    <phoneticPr fontId="1"/>
  </si>
  <si>
    <t>m　（ 1.82m 以下）</t>
    <rPh sb="10" eb="12">
      <t>イカ</t>
    </rPh>
    <phoneticPr fontId="1"/>
  </si>
  <si>
    <t>N/m</t>
    <phoneticPr fontId="1"/>
  </si>
  <si>
    <t>図４．　胴差の荷重形式</t>
    <rPh sb="0" eb="1">
      <t>ズ</t>
    </rPh>
    <rPh sb="4" eb="6">
      <t>ドウサ</t>
    </rPh>
    <rPh sb="7" eb="9">
      <t>カジュウ</t>
    </rPh>
    <rPh sb="9" eb="11">
      <t>ケイシキ</t>
    </rPh>
    <phoneticPr fontId="1"/>
  </si>
  <si>
    <t>固定荷重＋積雪荷重に対してスパンの1/250以下</t>
    <rPh sb="0" eb="2">
      <t>コテイ</t>
    </rPh>
    <rPh sb="2" eb="4">
      <t>カジュウ</t>
    </rPh>
    <rPh sb="5" eb="7">
      <t>セキセツ</t>
    </rPh>
    <rPh sb="7" eb="9">
      <t>カジュウ</t>
    </rPh>
    <rPh sb="10" eb="11">
      <t>タイ</t>
    </rPh>
    <rPh sb="22" eb="24">
      <t>イカ</t>
    </rPh>
    <phoneticPr fontId="1"/>
  </si>
  <si>
    <t>胴差が受ける荷重</t>
    <rPh sb="0" eb="1">
      <t>ドウ</t>
    </rPh>
    <rPh sb="1" eb="2">
      <t>サ</t>
    </rPh>
    <rPh sb="3" eb="4">
      <t>ウ</t>
    </rPh>
    <rPh sb="6" eb="8">
      <t>カジュウ</t>
    </rPh>
    <phoneticPr fontId="1"/>
  </si>
  <si>
    <t>+　　P</t>
    <phoneticPr fontId="1"/>
  </si>
  <si>
    <t>胴差が受ける床小梁の位置（図４）</t>
    <rPh sb="0" eb="2">
      <t>ドウサ</t>
    </rPh>
    <rPh sb="3" eb="4">
      <t>ウ</t>
    </rPh>
    <rPh sb="6" eb="7">
      <t>ユカ</t>
    </rPh>
    <rPh sb="7" eb="8">
      <t>コ</t>
    </rPh>
    <rPh sb="8" eb="9">
      <t>ハリ</t>
    </rPh>
    <rPh sb="10" eb="12">
      <t>イチ</t>
    </rPh>
    <rPh sb="13" eb="14">
      <t>ズ</t>
    </rPh>
    <phoneticPr fontId="1"/>
  </si>
  <si>
    <t>ｄ１</t>
    <phoneticPr fontId="1"/>
  </si>
  <si>
    <t>ｄ２</t>
    <phoneticPr fontId="1"/>
  </si>
  <si>
    <t>( mm )</t>
    <phoneticPr fontId="1"/>
  </si>
  <si>
    <t>固定荷重＋積載荷重〈たわみ用）に対して、　　　　　　スパンの1/250以下</t>
    <rPh sb="0" eb="2">
      <t>コテイ</t>
    </rPh>
    <rPh sb="2" eb="4">
      <t>カジュウ</t>
    </rPh>
    <rPh sb="5" eb="7">
      <t>セキサイ</t>
    </rPh>
    <rPh sb="7" eb="9">
      <t>カジュウ</t>
    </rPh>
    <rPh sb="13" eb="14">
      <t>ヨウ</t>
    </rPh>
    <rPh sb="16" eb="17">
      <t>タイ</t>
    </rPh>
    <rPh sb="35" eb="37">
      <t>イカ</t>
    </rPh>
    <phoneticPr fontId="1"/>
  </si>
  <si>
    <t>d1：　材端からの距離</t>
    <rPh sb="4" eb="5">
      <t>ザイ</t>
    </rPh>
    <rPh sb="5" eb="6">
      <t>タン</t>
    </rPh>
    <rPh sb="9" eb="11">
      <t>キョリ</t>
    </rPh>
    <phoneticPr fontId="1"/>
  </si>
  <si>
    <t>L ：　胴差スパン</t>
    <rPh sb="4" eb="6">
      <t>ドウサ</t>
    </rPh>
    <phoneticPr fontId="1"/>
  </si>
  <si>
    <t>X</t>
    <phoneticPr fontId="1"/>
  </si>
  <si>
    <t>ｄ１</t>
    <phoneticPr fontId="1"/>
  </si>
  <si>
    <t>ｄ２</t>
    <phoneticPr fontId="1"/>
  </si>
  <si>
    <t>許容応力度計算用荷重</t>
    <rPh sb="0" eb="2">
      <t>キョヨウ</t>
    </rPh>
    <rPh sb="2" eb="5">
      <t>オウリョクド</t>
    </rPh>
    <rPh sb="5" eb="8">
      <t>ケイサンヨウ</t>
    </rPh>
    <rPh sb="8" eb="10">
      <t>カジュウ</t>
    </rPh>
    <phoneticPr fontId="1"/>
  </si>
  <si>
    <t>たわみ計算用荷重</t>
    <rPh sb="3" eb="6">
      <t>ケイサンヨウ</t>
    </rPh>
    <rPh sb="6" eb="8">
      <t>カジュウ</t>
    </rPh>
    <phoneticPr fontId="1"/>
  </si>
  <si>
    <t>P　：　小屋梁の反力</t>
    <rPh sb="4" eb="6">
      <t>コヤ</t>
    </rPh>
    <rPh sb="6" eb="7">
      <t>ハリ</t>
    </rPh>
    <rPh sb="8" eb="10">
      <t>ハンリョク</t>
    </rPh>
    <phoneticPr fontId="1"/>
  </si>
  <si>
    <t>L　：　胴差スパン</t>
    <rPh sb="4" eb="6">
      <t>ドウサ</t>
    </rPh>
    <phoneticPr fontId="1"/>
  </si>
  <si>
    <t>胴差（１・２階、開口部位置不一致）の場合の荷重形式</t>
    <rPh sb="0" eb="2">
      <t>ドウサ</t>
    </rPh>
    <rPh sb="6" eb="7">
      <t>カイ</t>
    </rPh>
    <rPh sb="8" eb="11">
      <t>カイコウブ</t>
    </rPh>
    <rPh sb="11" eb="13">
      <t>イチ</t>
    </rPh>
    <rPh sb="13" eb="16">
      <t>フイッチ</t>
    </rPh>
    <rPh sb="18" eb="20">
      <t>バアイ</t>
    </rPh>
    <rPh sb="21" eb="23">
      <t>カジュウ</t>
    </rPh>
    <rPh sb="23" eb="25">
      <t>ケイシキ</t>
    </rPh>
    <phoneticPr fontId="1"/>
  </si>
  <si>
    <r>
      <t>胴差</t>
    </r>
    <r>
      <rPr>
        <sz val="16"/>
        <color theme="1"/>
        <rFont val="AR P丸ゴシック体E"/>
        <family val="3"/>
        <charset val="128"/>
      </rPr>
      <t>の</t>
    </r>
    <r>
      <rPr>
        <sz val="18"/>
        <color theme="1"/>
        <rFont val="AR P丸ゴシック体E"/>
        <family val="3"/>
        <charset val="128"/>
      </rPr>
      <t>スパン表</t>
    </r>
    <r>
      <rPr>
        <sz val="12"/>
        <color theme="1"/>
        <rFont val="AR P丸ゴシック体E"/>
        <family val="3"/>
        <charset val="128"/>
      </rPr>
      <t>（1,2F開口部位置一致、床小梁が直行の場合）</t>
    </r>
    <rPh sb="0" eb="1">
      <t>ドウ</t>
    </rPh>
    <rPh sb="1" eb="2">
      <t>サ</t>
    </rPh>
    <rPh sb="6" eb="7">
      <t>ヒョウ</t>
    </rPh>
    <rPh sb="12" eb="15">
      <t>カイコウブ</t>
    </rPh>
    <rPh sb="15" eb="17">
      <t>イチ</t>
    </rPh>
    <rPh sb="17" eb="19">
      <t>イッチ</t>
    </rPh>
    <rPh sb="20" eb="21">
      <t>ユカ</t>
    </rPh>
    <rPh sb="21" eb="22">
      <t>コ</t>
    </rPh>
    <rPh sb="22" eb="23">
      <t>ハリ</t>
    </rPh>
    <rPh sb="24" eb="26">
      <t>チョッコウ</t>
    </rPh>
    <rPh sb="27" eb="29">
      <t>バアイ</t>
    </rPh>
    <phoneticPr fontId="1"/>
  </si>
  <si>
    <r>
      <t>胴差</t>
    </r>
    <r>
      <rPr>
        <sz val="16"/>
        <color theme="1"/>
        <rFont val="AR P丸ゴシック体E"/>
        <family val="3"/>
        <charset val="128"/>
      </rPr>
      <t>の</t>
    </r>
    <r>
      <rPr>
        <sz val="18"/>
        <color theme="1"/>
        <rFont val="AR P丸ゴシック体E"/>
        <family val="3"/>
        <charset val="128"/>
      </rPr>
      <t>スパン表</t>
    </r>
    <r>
      <rPr>
        <sz val="12"/>
        <color theme="1"/>
        <rFont val="AR P丸ゴシック体E"/>
        <family val="3"/>
        <charset val="128"/>
      </rPr>
      <t>（1,2F開口部位置一致、床小梁が平行の場合）</t>
    </r>
    <rPh sb="0" eb="1">
      <t>ドウ</t>
    </rPh>
    <rPh sb="1" eb="2">
      <t>サ</t>
    </rPh>
    <rPh sb="6" eb="7">
      <t>ヒョウ</t>
    </rPh>
    <rPh sb="12" eb="15">
      <t>カイコウブ</t>
    </rPh>
    <rPh sb="15" eb="17">
      <t>イチ</t>
    </rPh>
    <rPh sb="17" eb="19">
      <t>イッチ</t>
    </rPh>
    <rPh sb="20" eb="21">
      <t>ユカ</t>
    </rPh>
    <rPh sb="21" eb="22">
      <t>コ</t>
    </rPh>
    <rPh sb="22" eb="23">
      <t>ハリ</t>
    </rPh>
    <rPh sb="24" eb="26">
      <t>ヘイコウ</t>
    </rPh>
    <rPh sb="27" eb="29">
      <t>バアイ</t>
    </rPh>
    <phoneticPr fontId="1"/>
  </si>
  <si>
    <r>
      <t>胴差</t>
    </r>
    <r>
      <rPr>
        <sz val="16"/>
        <color theme="1"/>
        <rFont val="AR P丸ゴシック体E"/>
        <family val="3"/>
        <charset val="128"/>
      </rPr>
      <t>の</t>
    </r>
    <r>
      <rPr>
        <sz val="18"/>
        <color theme="1"/>
        <rFont val="AR P丸ゴシック体E"/>
        <family val="3"/>
        <charset val="128"/>
      </rPr>
      <t>スパン表</t>
    </r>
    <r>
      <rPr>
        <sz val="12"/>
        <color theme="1"/>
        <rFont val="AR P丸ゴシック体E"/>
        <family val="3"/>
        <charset val="128"/>
      </rPr>
      <t>（1,2F開口部位置不一致、床小梁が平行の場合）</t>
    </r>
    <rPh sb="0" eb="1">
      <t>ドウ</t>
    </rPh>
    <rPh sb="1" eb="2">
      <t>サ</t>
    </rPh>
    <rPh sb="6" eb="7">
      <t>ヒョウ</t>
    </rPh>
    <rPh sb="12" eb="15">
      <t>カイコウブ</t>
    </rPh>
    <rPh sb="15" eb="17">
      <t>イチ</t>
    </rPh>
    <rPh sb="17" eb="18">
      <t>フ</t>
    </rPh>
    <rPh sb="18" eb="20">
      <t>イッチ</t>
    </rPh>
    <rPh sb="21" eb="22">
      <t>ユカ</t>
    </rPh>
    <rPh sb="22" eb="23">
      <t>コ</t>
    </rPh>
    <rPh sb="23" eb="24">
      <t>ハリ</t>
    </rPh>
    <rPh sb="25" eb="27">
      <t>ヘイコウ</t>
    </rPh>
    <rPh sb="28" eb="30">
      <t>バアイ</t>
    </rPh>
    <phoneticPr fontId="1"/>
  </si>
  <si>
    <t>外　壁 　荷 　重</t>
    <rPh sb="0" eb="1">
      <t>ソト</t>
    </rPh>
    <rPh sb="2" eb="3">
      <t>カベ</t>
    </rPh>
    <rPh sb="5" eb="6">
      <t>ニ</t>
    </rPh>
    <rPh sb="8" eb="9">
      <t>ジュウ</t>
    </rPh>
    <phoneticPr fontId="1"/>
  </si>
  <si>
    <t>軽い外壁</t>
    <rPh sb="0" eb="1">
      <t>カル</t>
    </rPh>
    <rPh sb="2" eb="4">
      <t>ガイヘキ</t>
    </rPh>
    <phoneticPr fontId="1"/>
  </si>
  <si>
    <t>重い外壁</t>
    <rPh sb="0" eb="1">
      <t>オモ</t>
    </rPh>
    <rPh sb="2" eb="4">
      <t>ガイヘキ</t>
    </rPh>
    <phoneticPr fontId="1"/>
  </si>
  <si>
    <t>ｄ１</t>
    <phoneticPr fontId="1"/>
  </si>
  <si>
    <t>ｄ２</t>
    <phoneticPr fontId="1"/>
  </si>
  <si>
    <t>ｍ</t>
    <phoneticPr fontId="1"/>
  </si>
  <si>
    <t>（部分）</t>
    <rPh sb="1" eb="3">
      <t>ブブン</t>
    </rPh>
    <phoneticPr fontId="1"/>
  </si>
  <si>
    <t>(全体)合計</t>
    <rPh sb="1" eb="3">
      <t>ゼンタイ</t>
    </rPh>
    <rPh sb="4" eb="6">
      <t>ゴウケイ</t>
    </rPh>
    <phoneticPr fontId="1"/>
  </si>
  <si>
    <t>(スパン)</t>
    <phoneticPr fontId="1"/>
  </si>
  <si>
    <t>小屋梁スパン</t>
    <rPh sb="0" eb="2">
      <t>コヤ</t>
    </rPh>
    <rPh sb="2" eb="3">
      <t>ハリ</t>
    </rPh>
    <phoneticPr fontId="1"/>
  </si>
  <si>
    <t>小屋梁間隔</t>
    <rPh sb="0" eb="3">
      <t>コヤバリ</t>
    </rPh>
    <rPh sb="3" eb="5">
      <t>カンカク</t>
    </rPh>
    <phoneticPr fontId="1"/>
  </si>
  <si>
    <t>M部分　 =</t>
    <rPh sb="1" eb="3">
      <t>ブブン</t>
    </rPh>
    <phoneticPr fontId="1"/>
  </si>
  <si>
    <t>（全体）</t>
    <rPh sb="1" eb="3">
      <t>ゼンタイ</t>
    </rPh>
    <phoneticPr fontId="1"/>
  </si>
  <si>
    <t>d1</t>
    <phoneticPr fontId="1"/>
  </si>
  <si>
    <t>d2</t>
    <phoneticPr fontId="1"/>
  </si>
  <si>
    <t>x1 =</t>
    <phoneticPr fontId="1"/>
  </si>
  <si>
    <t>x2 =</t>
    <phoneticPr fontId="1"/>
  </si>
  <si>
    <t>d+(L-d1/2)/L</t>
    <phoneticPr fontId="1"/>
  </si>
  <si>
    <t>d+(L-d2/2)/L</t>
    <phoneticPr fontId="1"/>
  </si>
  <si>
    <r>
      <t>δ</t>
    </r>
    <r>
      <rPr>
        <sz val="8"/>
        <color theme="1"/>
        <rFont val="ＭＳ Ｐゴシック"/>
        <family val="3"/>
        <charset val="128"/>
        <scheme val="minor"/>
      </rPr>
      <t>集長雪</t>
    </r>
    <r>
      <rPr>
        <sz val="9"/>
        <color theme="1"/>
        <rFont val="ＭＳ Ｐゴシック"/>
        <family val="3"/>
        <charset val="128"/>
        <scheme val="minor"/>
      </rPr>
      <t>２</t>
    </r>
    <r>
      <rPr>
        <sz val="10"/>
        <color theme="1"/>
        <rFont val="ＭＳ Ｐゴシック"/>
        <family val="2"/>
        <charset val="128"/>
        <scheme val="minor"/>
      </rPr>
      <t>　＝</t>
    </r>
    <rPh sb="1" eb="2">
      <t>シュウ</t>
    </rPh>
    <rPh sb="2" eb="3">
      <t>チョウ</t>
    </rPh>
    <rPh sb="3" eb="4">
      <t>ユキ</t>
    </rPh>
    <phoneticPr fontId="1"/>
  </si>
  <si>
    <r>
      <t>胴差</t>
    </r>
    <r>
      <rPr>
        <sz val="16"/>
        <color theme="1"/>
        <rFont val="AR P丸ゴシック体E"/>
        <family val="3"/>
        <charset val="128"/>
      </rPr>
      <t>の</t>
    </r>
    <r>
      <rPr>
        <sz val="18"/>
        <color theme="1"/>
        <rFont val="AR P丸ゴシック体E"/>
        <family val="3"/>
        <charset val="128"/>
      </rPr>
      <t>スパン表</t>
    </r>
    <r>
      <rPr>
        <sz val="12"/>
        <color theme="1"/>
        <rFont val="AR P丸ゴシック体E"/>
        <family val="3"/>
        <charset val="128"/>
      </rPr>
      <t>（1,2F開口部位置不一致、床小梁が直行の場合）</t>
    </r>
    <rPh sb="0" eb="1">
      <t>ドウ</t>
    </rPh>
    <rPh sb="1" eb="2">
      <t>サ</t>
    </rPh>
    <rPh sb="6" eb="7">
      <t>ヒョウ</t>
    </rPh>
    <rPh sb="12" eb="15">
      <t>カイコウブ</t>
    </rPh>
    <rPh sb="15" eb="17">
      <t>イチ</t>
    </rPh>
    <rPh sb="17" eb="18">
      <t>フ</t>
    </rPh>
    <rPh sb="18" eb="20">
      <t>イッチ</t>
    </rPh>
    <rPh sb="21" eb="22">
      <t>ユカ</t>
    </rPh>
    <rPh sb="22" eb="23">
      <t>コ</t>
    </rPh>
    <rPh sb="23" eb="24">
      <t>ハリ</t>
    </rPh>
    <rPh sb="25" eb="27">
      <t>チョッコウ</t>
    </rPh>
    <rPh sb="28" eb="30">
      <t>バアイ</t>
    </rPh>
    <phoneticPr fontId="1"/>
  </si>
  <si>
    <t>m＾２</t>
    <phoneticPr fontId="1"/>
  </si>
  <si>
    <t>軒天荷重</t>
    <rPh sb="0" eb="1">
      <t>ノキ</t>
    </rPh>
    <rPh sb="1" eb="2">
      <t>テン</t>
    </rPh>
    <rPh sb="2" eb="4">
      <t>カジュウ</t>
    </rPh>
    <phoneticPr fontId="1"/>
  </si>
  <si>
    <t>天井荷重</t>
    <rPh sb="0" eb="1">
      <t>テン</t>
    </rPh>
    <rPh sb="1" eb="2">
      <t>イ</t>
    </rPh>
    <rPh sb="2" eb="4">
      <t>カジュウ</t>
    </rPh>
    <phoneticPr fontId="1"/>
  </si>
  <si>
    <t>荷　重　負  担  面  積</t>
    <rPh sb="0" eb="1">
      <t>ニ</t>
    </rPh>
    <rPh sb="2" eb="3">
      <t>ジュウ</t>
    </rPh>
    <rPh sb="4" eb="5">
      <t>フ</t>
    </rPh>
    <rPh sb="7" eb="8">
      <t>タン</t>
    </rPh>
    <rPh sb="10" eb="11">
      <t>メン</t>
    </rPh>
    <rPh sb="13" eb="14">
      <t>セキ</t>
    </rPh>
    <phoneticPr fontId="1"/>
  </si>
  <si>
    <t>根太スパン</t>
    <rPh sb="0" eb="2">
      <t>ネダ</t>
    </rPh>
    <phoneticPr fontId="1"/>
  </si>
  <si>
    <t>判定まとめ</t>
    <rPh sb="0" eb="2">
      <t>ハンテイ</t>
    </rPh>
    <phoneticPr fontId="1"/>
  </si>
  <si>
    <t>固定荷重</t>
    <rPh sb="0" eb="2">
      <t>コテイ</t>
    </rPh>
    <rPh sb="2" eb="4">
      <t>カジュウ</t>
    </rPh>
    <phoneticPr fontId="1"/>
  </si>
  <si>
    <t>固定＋積雪荷重</t>
    <rPh sb="0" eb="2">
      <t>コテイ</t>
    </rPh>
    <rPh sb="3" eb="5">
      <t>セキセツ</t>
    </rPh>
    <rPh sb="5" eb="7">
      <t>カジュウ</t>
    </rPh>
    <phoneticPr fontId="1"/>
  </si>
  <si>
    <t>曲げﾓｰﾒﾝﾄ</t>
    <rPh sb="0" eb="1">
      <t>マ</t>
    </rPh>
    <phoneticPr fontId="1"/>
  </si>
  <si>
    <t>岡山県産材のスパン表</t>
    <rPh sb="0" eb="5">
      <t>オカヤマケンサンザイ</t>
    </rPh>
    <rPh sb="9" eb="10">
      <t>ヒョウ</t>
    </rPh>
    <phoneticPr fontId="1"/>
  </si>
  <si>
    <t>法令</t>
    <rPh sb="0" eb="2">
      <t>ホウレイ</t>
    </rPh>
    <phoneticPr fontId="1"/>
  </si>
  <si>
    <t>根太曲げ</t>
    <rPh sb="0" eb="2">
      <t>ネダ</t>
    </rPh>
    <rPh sb="2" eb="3">
      <t>マ</t>
    </rPh>
    <phoneticPr fontId="1"/>
  </si>
  <si>
    <t>たわみ</t>
    <phoneticPr fontId="1"/>
  </si>
  <si>
    <t>曲  げ</t>
    <rPh sb="0" eb="1">
      <t>マ</t>
    </rPh>
    <phoneticPr fontId="1"/>
  </si>
  <si>
    <t>材の密度</t>
    <rPh sb="0" eb="1">
      <t>ザイ</t>
    </rPh>
    <rPh sb="2" eb="4">
      <t>ミツド</t>
    </rPh>
    <phoneticPr fontId="1"/>
  </si>
  <si>
    <t>許容たわみ</t>
    <rPh sb="0" eb="2">
      <t>キョヨウ</t>
    </rPh>
    <phoneticPr fontId="1"/>
  </si>
  <si>
    <t>P： 床の小ばり反力,　L ： 床の大ばりスパン</t>
    <phoneticPr fontId="1"/>
  </si>
  <si>
    <t>( 図　１　）</t>
    <rPh sb="2" eb="3">
      <t>ズ</t>
    </rPh>
    <phoneticPr fontId="1"/>
  </si>
  <si>
    <t>曲  げ</t>
    <rPh sb="0" eb="1">
      <t>マ</t>
    </rPh>
    <phoneticPr fontId="1"/>
  </si>
  <si>
    <t>屋根荷重</t>
    <rPh sb="0" eb="2">
      <t>ヤネ</t>
    </rPh>
    <rPh sb="2" eb="4">
      <t>カジュウ</t>
    </rPh>
    <phoneticPr fontId="1"/>
  </si>
  <si>
    <t xml:space="preserve"> (N/m^2)</t>
    <phoneticPr fontId="1"/>
  </si>
  <si>
    <t>(N/m^2/cm)  →</t>
    <phoneticPr fontId="1"/>
  </si>
  <si>
    <t>μb  =</t>
    <phoneticPr fontId="1"/>
  </si>
  <si>
    <t>( cos (1.5β））＾１／２　＝</t>
    <phoneticPr fontId="1"/>
  </si>
  <si>
    <t xml:space="preserve"> (N/m^2)</t>
    <phoneticPr fontId="1"/>
  </si>
  <si>
    <t>G</t>
    <phoneticPr fontId="1"/>
  </si>
  <si>
    <t>＋　S</t>
    <phoneticPr fontId="1"/>
  </si>
  <si>
    <t>（N/m^2)</t>
    <phoneticPr fontId="1"/>
  </si>
  <si>
    <t>たるきが受ける荷重</t>
    <rPh sb="4" eb="5">
      <t>ウ</t>
    </rPh>
    <rPh sb="7" eb="9">
      <t>カジュウ</t>
    </rPh>
    <phoneticPr fontId="1"/>
  </si>
  <si>
    <t>建設地（積雪量）</t>
    <rPh sb="0" eb="1">
      <t>ケン</t>
    </rPh>
    <rPh sb="1" eb="2">
      <t>セツ</t>
    </rPh>
    <rPh sb="2" eb="3">
      <t>チ</t>
    </rPh>
    <rPh sb="4" eb="7">
      <t>セキセツリョウ</t>
    </rPh>
    <phoneticPr fontId="1"/>
  </si>
  <si>
    <t>屋根長期（常時）</t>
    <rPh sb="0" eb="2">
      <t>ヤネ</t>
    </rPh>
    <rPh sb="2" eb="4">
      <t>チョウキ</t>
    </rPh>
    <rPh sb="5" eb="7">
      <t>ジョウジ</t>
    </rPh>
    <phoneticPr fontId="1"/>
  </si>
  <si>
    <t>屋根長期（積雪時）</t>
    <rPh sb="0" eb="2">
      <t>ヤネ</t>
    </rPh>
    <rPh sb="2" eb="4">
      <t>チョウキ</t>
    </rPh>
    <rPh sb="5" eb="7">
      <t>セキセツ</t>
    </rPh>
    <rPh sb="7" eb="8">
      <t>ジ</t>
    </rPh>
    <phoneticPr fontId="1"/>
  </si>
  <si>
    <t>屋根短期（積雪時）</t>
    <rPh sb="0" eb="2">
      <t>ヤネ</t>
    </rPh>
    <rPh sb="2" eb="4">
      <t>タンキ</t>
    </rPh>
    <rPh sb="5" eb="7">
      <t>セキセツ</t>
    </rPh>
    <rPh sb="7" eb="8">
      <t>ジ</t>
    </rPh>
    <phoneticPr fontId="1"/>
  </si>
  <si>
    <t>長　　期</t>
    <rPh sb="0" eb="1">
      <t>チョウ</t>
    </rPh>
    <rPh sb="3" eb="4">
      <t>キ</t>
    </rPh>
    <phoneticPr fontId="1"/>
  </si>
  <si>
    <t>天井荷重</t>
    <rPh sb="0" eb="2">
      <t>テンジョウ</t>
    </rPh>
    <rPh sb="2" eb="4">
      <t>カジュウ</t>
    </rPh>
    <phoneticPr fontId="1"/>
  </si>
  <si>
    <r>
      <t xml:space="preserve">(N/m^2/cm)  </t>
    </r>
    <r>
      <rPr>
        <sz val="10"/>
        <color theme="1"/>
        <rFont val="ＭＳ Ｐゴシック"/>
        <family val="3"/>
        <charset val="128"/>
        <scheme val="minor"/>
      </rPr>
      <t>→</t>
    </r>
    <phoneticPr fontId="1"/>
  </si>
  <si>
    <t>屋根長期(常時）</t>
    <rPh sb="0" eb="2">
      <t>ヤネ</t>
    </rPh>
    <rPh sb="2" eb="4">
      <t>チョウキ</t>
    </rPh>
    <rPh sb="5" eb="7">
      <t>ジョウジ</t>
    </rPh>
    <phoneticPr fontId="1"/>
  </si>
  <si>
    <t>屋根長期(積雪時）</t>
    <rPh sb="0" eb="2">
      <t>ヤネ</t>
    </rPh>
    <rPh sb="2" eb="4">
      <t>チョウキ</t>
    </rPh>
    <rPh sb="5" eb="7">
      <t>セキセツ</t>
    </rPh>
    <rPh sb="7" eb="8">
      <t>ジ</t>
    </rPh>
    <phoneticPr fontId="1"/>
  </si>
  <si>
    <t>屋根短期(積雪時）</t>
    <rPh sb="0" eb="2">
      <t>ヤネ</t>
    </rPh>
    <rPh sb="2" eb="4">
      <t>タンキ</t>
    </rPh>
    <rPh sb="5" eb="7">
      <t>セキセツ</t>
    </rPh>
    <rPh sb="7" eb="8">
      <t>ジ</t>
    </rPh>
    <phoneticPr fontId="1"/>
  </si>
  <si>
    <t>（許容応力度用）</t>
    <rPh sb="1" eb="3">
      <t>キョヨウ</t>
    </rPh>
    <rPh sb="3" eb="6">
      <t>オウリョクド</t>
    </rPh>
    <rPh sb="6" eb="7">
      <t>ヨウ</t>
    </rPh>
    <phoneticPr fontId="1"/>
  </si>
  <si>
    <t>（たわみ用）</t>
    <rPh sb="4" eb="5">
      <t>ヨウ</t>
    </rPh>
    <phoneticPr fontId="1"/>
  </si>
  <si>
    <t>軒天荷重</t>
    <rPh sb="0" eb="2">
      <t>ノキテン</t>
    </rPh>
    <rPh sb="2" eb="4">
      <t>カジュウ</t>
    </rPh>
    <phoneticPr fontId="1"/>
  </si>
  <si>
    <t>2F床荷重</t>
    <rPh sb="2" eb="3">
      <t>ユカ</t>
    </rPh>
    <rPh sb="3" eb="5">
      <t>カジュウ</t>
    </rPh>
    <phoneticPr fontId="1"/>
  </si>
  <si>
    <t>（スパン２ｍ以下）</t>
    <rPh sb="6" eb="8">
      <t>イカ</t>
    </rPh>
    <phoneticPr fontId="1"/>
  </si>
  <si>
    <t>天井荷重</t>
    <rPh sb="0" eb="2">
      <t>テンジョウ</t>
    </rPh>
    <rPh sb="2" eb="4">
      <t>カジュウ</t>
    </rPh>
    <phoneticPr fontId="1"/>
  </si>
  <si>
    <t>軒天荷重</t>
    <rPh sb="0" eb="2">
      <t>ノキテン</t>
    </rPh>
    <rPh sb="2" eb="4">
      <t>カジュウ</t>
    </rPh>
    <phoneticPr fontId="1"/>
  </si>
  <si>
    <t>母　　屋</t>
    <rPh sb="0" eb="1">
      <t>ハハ</t>
    </rPh>
    <rPh sb="3" eb="4">
      <t>ヤ</t>
    </rPh>
    <phoneticPr fontId="1"/>
  </si>
  <si>
    <t>た　る　き</t>
    <phoneticPr fontId="1"/>
  </si>
  <si>
    <t>胴差上の外壁長さ</t>
    <rPh sb="0" eb="2">
      <t>ドウサ</t>
    </rPh>
    <rPh sb="2" eb="3">
      <t>ジョウ</t>
    </rPh>
    <rPh sb="4" eb="6">
      <t>ソトカベ</t>
    </rPh>
    <rPh sb="6" eb="7">
      <t>ナガ</t>
    </rPh>
    <phoneticPr fontId="1"/>
  </si>
  <si>
    <t>mm</t>
    <phoneticPr fontId="1"/>
  </si>
  <si>
    <t>W1*d1*(X1*(2L-d1)*(d1*(4L-d1)*d1^2-4X1^2)  +2LX1^4/d1)  /48*E*I*L</t>
    <phoneticPr fontId="1"/>
  </si>
  <si>
    <t>W2*d2*(X1*(2L-d2)*(d2*(4L-d2)*d2^2-4X1^2)  +2LX1^4/d2)  /48*E*I*L</t>
    <phoneticPr fontId="1"/>
  </si>
  <si>
    <t>(許容応力度用）</t>
    <rPh sb="1" eb="3">
      <t>キョヨウ</t>
    </rPh>
    <rPh sb="3" eb="6">
      <t>オウリョクド</t>
    </rPh>
    <rPh sb="6" eb="7">
      <t>ヨウ</t>
    </rPh>
    <phoneticPr fontId="1"/>
  </si>
  <si>
    <t>３)　積雪荷重　　S</t>
    <rPh sb="3" eb="5">
      <t>セキセツ</t>
    </rPh>
    <rPh sb="5" eb="7">
      <t>カジュウ</t>
    </rPh>
    <phoneticPr fontId="1"/>
  </si>
  <si>
    <t>２)　積載荷重　　P</t>
    <rPh sb="3" eb="5">
      <t>セキサイ</t>
    </rPh>
    <rPh sb="5" eb="7">
      <t>カジュウ</t>
    </rPh>
    <phoneticPr fontId="1"/>
  </si>
  <si>
    <t>選択セル</t>
    <rPh sb="0" eb="2">
      <t>センタク</t>
    </rPh>
    <phoneticPr fontId="1"/>
  </si>
  <si>
    <t>入力セル</t>
    <rPh sb="0" eb="2">
      <t>ニュウリョク</t>
    </rPh>
    <phoneticPr fontId="1"/>
  </si>
  <si>
    <t>このスパン表について</t>
    <rPh sb="5" eb="6">
      <t>ヒョウ</t>
    </rPh>
    <phoneticPr fontId="1"/>
  </si>
  <si>
    <t>１）</t>
    <phoneticPr fontId="1"/>
  </si>
  <si>
    <t>このスパン表は、概ね文献１）の横架材のスパン表の条件を元にして、現在の法規制や設計指針等を取り入れ、岡山県産材のデータを用いて作成したものです。</t>
    <rPh sb="5" eb="6">
      <t>ヒョウ</t>
    </rPh>
    <rPh sb="8" eb="9">
      <t>オオム</t>
    </rPh>
    <rPh sb="10" eb="12">
      <t>ブンケン</t>
    </rPh>
    <rPh sb="15" eb="18">
      <t>オウカザイ</t>
    </rPh>
    <rPh sb="22" eb="23">
      <t>ヒョウ</t>
    </rPh>
    <rPh sb="24" eb="26">
      <t>ジョウケン</t>
    </rPh>
    <rPh sb="27" eb="28">
      <t>モト</t>
    </rPh>
    <rPh sb="32" eb="34">
      <t>ゲンザイ</t>
    </rPh>
    <rPh sb="35" eb="38">
      <t>ホウキセイ</t>
    </rPh>
    <rPh sb="39" eb="41">
      <t>セッケイ</t>
    </rPh>
    <rPh sb="41" eb="43">
      <t>シシン</t>
    </rPh>
    <rPh sb="43" eb="44">
      <t>トウ</t>
    </rPh>
    <rPh sb="45" eb="46">
      <t>ト</t>
    </rPh>
    <rPh sb="47" eb="48">
      <t>イ</t>
    </rPh>
    <rPh sb="50" eb="55">
      <t>オカヤマケンサンザイ</t>
    </rPh>
    <rPh sb="60" eb="61">
      <t>モチ</t>
    </rPh>
    <rPh sb="63" eb="65">
      <t>サクセイ</t>
    </rPh>
    <phoneticPr fontId="1"/>
  </si>
  <si>
    <t>２）</t>
    <phoneticPr fontId="1"/>
  </si>
  <si>
    <t>３）</t>
    <phoneticPr fontId="1"/>
  </si>
  <si>
    <t>４）</t>
    <phoneticPr fontId="1"/>
  </si>
  <si>
    <t>免責事項</t>
    <rPh sb="0" eb="2">
      <t>メンセキ</t>
    </rPh>
    <rPh sb="2" eb="4">
      <t>ジコウ</t>
    </rPh>
    <phoneticPr fontId="1"/>
  </si>
  <si>
    <t>このことを了承した上で、ご使用ください。</t>
    <rPh sb="5" eb="7">
      <t>リョウショウ</t>
    </rPh>
    <rPh sb="9" eb="10">
      <t>ウエ</t>
    </rPh>
    <rPh sb="13" eb="15">
      <t>シヨウ</t>
    </rPh>
    <phoneticPr fontId="1"/>
  </si>
  <si>
    <t>注意事項</t>
    <rPh sb="0" eb="2">
      <t>チュウイ</t>
    </rPh>
    <rPh sb="2" eb="4">
      <t>ジコウ</t>
    </rPh>
    <phoneticPr fontId="1"/>
  </si>
  <si>
    <t>このスパン表に限らず、一般にスパン表は個々の曲げ材について使用される条件に応じた最適のスパン、あるいは最適の部材断面を示すツールに過ぎません。</t>
    <rPh sb="5" eb="6">
      <t>ヒョウ</t>
    </rPh>
    <rPh sb="7" eb="8">
      <t>カギ</t>
    </rPh>
    <rPh sb="11" eb="13">
      <t>イッパン</t>
    </rPh>
    <rPh sb="17" eb="18">
      <t>ヒョウ</t>
    </rPh>
    <rPh sb="19" eb="21">
      <t>ココ</t>
    </rPh>
    <rPh sb="22" eb="23">
      <t>マ</t>
    </rPh>
    <rPh sb="24" eb="25">
      <t>ザイ</t>
    </rPh>
    <rPh sb="29" eb="31">
      <t>シヨウ</t>
    </rPh>
    <rPh sb="34" eb="36">
      <t>ジョウケン</t>
    </rPh>
    <rPh sb="37" eb="38">
      <t>オウ</t>
    </rPh>
    <rPh sb="40" eb="42">
      <t>サイテキ</t>
    </rPh>
    <rPh sb="51" eb="53">
      <t>サイテキ</t>
    </rPh>
    <rPh sb="54" eb="56">
      <t>ブザイ</t>
    </rPh>
    <rPh sb="56" eb="58">
      <t>ダンメン</t>
    </rPh>
    <rPh sb="59" eb="60">
      <t>シメ</t>
    </rPh>
    <rPh sb="65" eb="66">
      <t>ス</t>
    </rPh>
    <phoneticPr fontId="1"/>
  </si>
  <si>
    <t>従って、該当住宅等の構造の安定性を保証するものではありません。</t>
    <rPh sb="0" eb="1">
      <t>シタガ</t>
    </rPh>
    <rPh sb="4" eb="6">
      <t>ガイトウ</t>
    </rPh>
    <rPh sb="6" eb="8">
      <t>ジュウタク</t>
    </rPh>
    <rPh sb="8" eb="9">
      <t>トウ</t>
    </rPh>
    <rPh sb="10" eb="12">
      <t>コウゾウ</t>
    </rPh>
    <rPh sb="13" eb="15">
      <t>アンテイ</t>
    </rPh>
    <rPh sb="15" eb="16">
      <t>セイ</t>
    </rPh>
    <rPh sb="17" eb="19">
      <t>ホショウ</t>
    </rPh>
    <phoneticPr fontId="1"/>
  </si>
  <si>
    <t>また、このスパン表に限らず、一般にスパン表は、継ぎ手等を用いて縦継ぎされた部材には適用できません。また、該当する横架材に強い圧縮あるいは引張後からがかかる場合、主軸以外の方向に曲げの力がかかる場合、横座屈を生じる場合は使用できません。</t>
    <rPh sb="8" eb="9">
      <t>ヒョウ</t>
    </rPh>
    <rPh sb="10" eb="11">
      <t>カギ</t>
    </rPh>
    <rPh sb="14" eb="16">
      <t>イッパン</t>
    </rPh>
    <rPh sb="20" eb="21">
      <t>ヒョウ</t>
    </rPh>
    <rPh sb="23" eb="24">
      <t>ツ</t>
    </rPh>
    <rPh sb="25" eb="26">
      <t>テ</t>
    </rPh>
    <rPh sb="26" eb="27">
      <t>トウ</t>
    </rPh>
    <rPh sb="28" eb="29">
      <t>モチ</t>
    </rPh>
    <rPh sb="31" eb="32">
      <t>タテ</t>
    </rPh>
    <rPh sb="32" eb="33">
      <t>ツ</t>
    </rPh>
    <rPh sb="37" eb="39">
      <t>ブザイ</t>
    </rPh>
    <rPh sb="41" eb="43">
      <t>テキヨウ</t>
    </rPh>
    <rPh sb="52" eb="54">
      <t>ガイトウ</t>
    </rPh>
    <rPh sb="56" eb="59">
      <t>オウカザイ</t>
    </rPh>
    <rPh sb="60" eb="61">
      <t>ツヨ</t>
    </rPh>
    <rPh sb="62" eb="64">
      <t>アッシュク</t>
    </rPh>
    <rPh sb="68" eb="69">
      <t>ヒ</t>
    </rPh>
    <rPh sb="69" eb="70">
      <t>パ</t>
    </rPh>
    <rPh sb="70" eb="71">
      <t>ノチ</t>
    </rPh>
    <rPh sb="77" eb="79">
      <t>バアイ</t>
    </rPh>
    <rPh sb="80" eb="82">
      <t>シュジク</t>
    </rPh>
    <rPh sb="82" eb="84">
      <t>イガイ</t>
    </rPh>
    <rPh sb="85" eb="87">
      <t>ホウコウ</t>
    </rPh>
    <rPh sb="88" eb="89">
      <t>マ</t>
    </rPh>
    <rPh sb="91" eb="92">
      <t>チカラ</t>
    </rPh>
    <rPh sb="96" eb="98">
      <t>バアイ</t>
    </rPh>
    <rPh sb="99" eb="100">
      <t>ヨコ</t>
    </rPh>
    <rPh sb="100" eb="102">
      <t>ザクツ</t>
    </rPh>
    <rPh sb="103" eb="104">
      <t>ショウ</t>
    </rPh>
    <rPh sb="106" eb="108">
      <t>バアイ</t>
    </rPh>
    <rPh sb="109" eb="111">
      <t>シヨウ</t>
    </rPh>
    <phoneticPr fontId="1"/>
  </si>
  <si>
    <t>このスパン表では、さらに、横架材が片持ち梁である場合には使用できません。</t>
    <rPh sb="5" eb="6">
      <t>ヒョウ</t>
    </rPh>
    <rPh sb="13" eb="16">
      <t>オウカザイ</t>
    </rPh>
    <rPh sb="17" eb="18">
      <t>カタ</t>
    </rPh>
    <rPh sb="18" eb="19">
      <t>モ</t>
    </rPh>
    <rPh sb="20" eb="21">
      <t>ハリ</t>
    </rPh>
    <rPh sb="24" eb="26">
      <t>バアイ</t>
    </rPh>
    <rPh sb="28" eb="30">
      <t>シヨウ</t>
    </rPh>
    <phoneticPr fontId="1"/>
  </si>
  <si>
    <t>このスパン表において、「岡山県産材」とは、岡山県内で伐採された丸太から生産されたJAS製材品を指します。</t>
    <phoneticPr fontId="1"/>
  </si>
  <si>
    <t>その他、注意事項は、文献１）の表紙見開き、「本書について」並びに2ページに示される注意事項を準用します。</t>
    <rPh sb="2" eb="3">
      <t>タ</t>
    </rPh>
    <rPh sb="4" eb="6">
      <t>チュウイ</t>
    </rPh>
    <rPh sb="6" eb="8">
      <t>ジコウ</t>
    </rPh>
    <rPh sb="10" eb="12">
      <t>ブンケン</t>
    </rPh>
    <rPh sb="15" eb="17">
      <t>ヒョウシ</t>
    </rPh>
    <rPh sb="17" eb="19">
      <t>ミヒラ</t>
    </rPh>
    <rPh sb="22" eb="24">
      <t>ホンショ</t>
    </rPh>
    <rPh sb="29" eb="30">
      <t>ナラ</t>
    </rPh>
    <rPh sb="37" eb="38">
      <t>シメ</t>
    </rPh>
    <rPh sb="41" eb="43">
      <t>チュウイ</t>
    </rPh>
    <rPh sb="43" eb="45">
      <t>ジコウ</t>
    </rPh>
    <rPh sb="46" eb="48">
      <t>ジュンヨウ</t>
    </rPh>
    <phoneticPr fontId="1"/>
  </si>
  <si>
    <t>参考文献</t>
    <rPh sb="0" eb="2">
      <t>サンコウ</t>
    </rPh>
    <rPh sb="2" eb="4">
      <t>ブンケン</t>
    </rPh>
    <phoneticPr fontId="1"/>
  </si>
  <si>
    <t>木造住宅のための構造の安定に関する基準に基づく横架材及び基礎のスパン表（第7版）</t>
    <rPh sb="0" eb="2">
      <t>モクゾウ</t>
    </rPh>
    <rPh sb="2" eb="4">
      <t>ジュウタク</t>
    </rPh>
    <rPh sb="8" eb="10">
      <t>コウゾウ</t>
    </rPh>
    <rPh sb="11" eb="13">
      <t>アンテイ</t>
    </rPh>
    <rPh sb="14" eb="15">
      <t>カン</t>
    </rPh>
    <rPh sb="17" eb="19">
      <t>キジュン</t>
    </rPh>
    <rPh sb="20" eb="21">
      <t>モト</t>
    </rPh>
    <rPh sb="23" eb="26">
      <t>オウカザイ</t>
    </rPh>
    <rPh sb="26" eb="27">
      <t>オヨ</t>
    </rPh>
    <rPh sb="28" eb="30">
      <t>キソ</t>
    </rPh>
    <rPh sb="34" eb="35">
      <t>ヒョウ</t>
    </rPh>
    <rPh sb="36" eb="37">
      <t>ダイ</t>
    </rPh>
    <rPh sb="38" eb="39">
      <t>ハン</t>
    </rPh>
    <phoneticPr fontId="1"/>
  </si>
  <si>
    <t>(財)日本住宅・木材技術センター</t>
    <rPh sb="0" eb="3">
      <t>ザイ</t>
    </rPh>
    <rPh sb="3" eb="5">
      <t>ニッポン</t>
    </rPh>
    <rPh sb="5" eb="7">
      <t>ジュウタク</t>
    </rPh>
    <rPh sb="8" eb="10">
      <t>モクザイ</t>
    </rPh>
    <rPh sb="10" eb="12">
      <t>ギジュツ</t>
    </rPh>
    <phoneticPr fontId="1"/>
  </si>
  <si>
    <t>平成22年7月</t>
    <rPh sb="0" eb="2">
      <t>ヘイセイ</t>
    </rPh>
    <rPh sb="4" eb="5">
      <t>ネン</t>
    </rPh>
    <rPh sb="6" eb="7">
      <t>ガツ</t>
    </rPh>
    <phoneticPr fontId="1"/>
  </si>
  <si>
    <t>木造軸組工法住宅の横架材及び基礎のスパン表（増補版）　</t>
    <rPh sb="0" eb="2">
      <t>モクゾウ</t>
    </rPh>
    <rPh sb="2" eb="4">
      <t>ジクグミ</t>
    </rPh>
    <rPh sb="4" eb="6">
      <t>コウホウ</t>
    </rPh>
    <rPh sb="6" eb="8">
      <t>ジュウタク</t>
    </rPh>
    <rPh sb="9" eb="12">
      <t>オウカザイ</t>
    </rPh>
    <rPh sb="12" eb="13">
      <t>オヨ</t>
    </rPh>
    <rPh sb="14" eb="16">
      <t>キソ</t>
    </rPh>
    <rPh sb="20" eb="21">
      <t>ヒョウ</t>
    </rPh>
    <rPh sb="22" eb="25">
      <t>ゾウホバン</t>
    </rPh>
    <phoneticPr fontId="1"/>
  </si>
  <si>
    <t>平成24年2月</t>
    <rPh sb="0" eb="2">
      <t>ヘイセイ</t>
    </rPh>
    <rPh sb="4" eb="5">
      <t>ネン</t>
    </rPh>
    <rPh sb="6" eb="7">
      <t>ガツ</t>
    </rPh>
    <phoneticPr fontId="1"/>
  </si>
  <si>
    <t>木質構造設計基準・同解説　ー　許容応力度・許容耐力設計法　ー</t>
    <rPh sb="0" eb="2">
      <t>モクシツ</t>
    </rPh>
    <rPh sb="2" eb="4">
      <t>コウゾウ</t>
    </rPh>
    <rPh sb="4" eb="6">
      <t>セッケイ</t>
    </rPh>
    <rPh sb="6" eb="8">
      <t>キジュン</t>
    </rPh>
    <rPh sb="9" eb="10">
      <t>ドウ</t>
    </rPh>
    <rPh sb="10" eb="12">
      <t>カイセツ</t>
    </rPh>
    <rPh sb="15" eb="17">
      <t>キョヨウ</t>
    </rPh>
    <rPh sb="17" eb="20">
      <t>オウリョクド</t>
    </rPh>
    <rPh sb="21" eb="23">
      <t>キョヨウ</t>
    </rPh>
    <rPh sb="23" eb="25">
      <t>タイリョク</t>
    </rPh>
    <rPh sb="25" eb="28">
      <t>セッケイホウ</t>
    </rPh>
    <phoneticPr fontId="1"/>
  </si>
  <si>
    <t>（第4版）</t>
    <rPh sb="1" eb="2">
      <t>ダイ</t>
    </rPh>
    <rPh sb="3" eb="4">
      <t>ハン</t>
    </rPh>
    <phoneticPr fontId="1"/>
  </si>
  <si>
    <t>日本建築学会</t>
    <rPh sb="0" eb="2">
      <t>ニッポン</t>
    </rPh>
    <rPh sb="2" eb="4">
      <t>ケンチク</t>
    </rPh>
    <rPh sb="4" eb="6">
      <t>ガッカイ</t>
    </rPh>
    <phoneticPr fontId="1"/>
  </si>
  <si>
    <t>平成21年3月</t>
    <rPh sb="0" eb="2">
      <t>ヘイセイ</t>
    </rPh>
    <rPh sb="4" eb="5">
      <t>ネン</t>
    </rPh>
    <rPh sb="6" eb="7">
      <t>ガツ</t>
    </rPh>
    <phoneticPr fontId="1"/>
  </si>
  <si>
    <t>木造軸組住宅の許容応力度設計（2008年版）</t>
    <rPh sb="0" eb="2">
      <t>モクゾウ</t>
    </rPh>
    <rPh sb="2" eb="4">
      <t>ジクグミ</t>
    </rPh>
    <rPh sb="4" eb="6">
      <t>ジュウタク</t>
    </rPh>
    <rPh sb="7" eb="9">
      <t>キョヨウ</t>
    </rPh>
    <rPh sb="9" eb="12">
      <t>オウリョクド</t>
    </rPh>
    <rPh sb="12" eb="14">
      <t>セッケイ</t>
    </rPh>
    <rPh sb="19" eb="20">
      <t>ネン</t>
    </rPh>
    <rPh sb="20" eb="21">
      <t>バン</t>
    </rPh>
    <phoneticPr fontId="1"/>
  </si>
  <si>
    <t>平成20年</t>
    <rPh sb="0" eb="2">
      <t>ヘイセイ</t>
    </rPh>
    <rPh sb="4" eb="5">
      <t>ネン</t>
    </rPh>
    <phoneticPr fontId="1"/>
  </si>
  <si>
    <t>５）</t>
    <phoneticPr fontId="1"/>
  </si>
  <si>
    <t>県産材サポーター養成講座テキスト（改訂版）</t>
    <rPh sb="0" eb="3">
      <t>ケンサンザイ</t>
    </rPh>
    <rPh sb="8" eb="10">
      <t>ヨウセイ</t>
    </rPh>
    <rPh sb="10" eb="12">
      <t>コウザ</t>
    </rPh>
    <rPh sb="17" eb="20">
      <t>カイテイバン</t>
    </rPh>
    <phoneticPr fontId="1"/>
  </si>
  <si>
    <t>（一社）岡山県木材組合連合会</t>
    <rPh sb="1" eb="2">
      <t>イチ</t>
    </rPh>
    <rPh sb="2" eb="3">
      <t>シャ</t>
    </rPh>
    <rPh sb="4" eb="7">
      <t>オカヤマケン</t>
    </rPh>
    <rPh sb="7" eb="9">
      <t>モクザイ</t>
    </rPh>
    <rPh sb="9" eb="11">
      <t>クミアイ</t>
    </rPh>
    <rPh sb="11" eb="14">
      <t>レンゴウカイ</t>
    </rPh>
    <phoneticPr fontId="1"/>
  </si>
  <si>
    <t>平成25年9月</t>
    <rPh sb="0" eb="2">
      <t>ヘイセイ</t>
    </rPh>
    <rPh sb="4" eb="5">
      <t>ネン</t>
    </rPh>
    <rPh sb="6" eb="7">
      <t>ガツ</t>
    </rPh>
    <phoneticPr fontId="1"/>
  </si>
  <si>
    <t>このスパン表は、岡山県農林水産総合センター森林研究所木材加工研究室等の職員が行う、このスパン表に関する説明会等の内容をよく聞いた上でご使用ください。</t>
    <rPh sb="5" eb="6">
      <t>ヒョウ</t>
    </rPh>
    <rPh sb="8" eb="11">
      <t>オカヤマケン</t>
    </rPh>
    <rPh sb="11" eb="13">
      <t>ノウリン</t>
    </rPh>
    <rPh sb="13" eb="15">
      <t>スイサン</t>
    </rPh>
    <rPh sb="15" eb="17">
      <t>ソウゴウ</t>
    </rPh>
    <rPh sb="21" eb="23">
      <t>シンリン</t>
    </rPh>
    <rPh sb="23" eb="26">
      <t>ケンキュウショ</t>
    </rPh>
    <rPh sb="26" eb="28">
      <t>モクザイ</t>
    </rPh>
    <rPh sb="28" eb="30">
      <t>カコウ</t>
    </rPh>
    <rPh sb="30" eb="34">
      <t>ケンキュウシツナド</t>
    </rPh>
    <rPh sb="35" eb="37">
      <t>ショクイン</t>
    </rPh>
    <rPh sb="38" eb="39">
      <t>オコナ</t>
    </rPh>
    <rPh sb="46" eb="47">
      <t>ヒョウ</t>
    </rPh>
    <rPh sb="48" eb="49">
      <t>カン</t>
    </rPh>
    <rPh sb="51" eb="55">
      <t>セツメイカイトウ</t>
    </rPh>
    <rPh sb="56" eb="58">
      <t>ナイヨウ</t>
    </rPh>
    <rPh sb="61" eb="62">
      <t>キ</t>
    </rPh>
    <rPh sb="64" eb="65">
      <t>ウエ</t>
    </rPh>
    <rPh sb="67" eb="69">
      <t>シヨウ</t>
    </rPh>
    <phoneticPr fontId="1"/>
  </si>
  <si>
    <t>Ver.1.00</t>
    <phoneticPr fontId="1"/>
  </si>
  <si>
    <t>日　　付</t>
    <rPh sb="0" eb="1">
      <t>ヒ</t>
    </rPh>
    <rPh sb="3" eb="4">
      <t>ツキ</t>
    </rPh>
    <phoneticPr fontId="1"/>
  </si>
  <si>
    <t>備　　考</t>
    <rPh sb="0" eb="1">
      <t>ソナエ</t>
    </rPh>
    <rPh sb="3" eb="4">
      <t>コウ</t>
    </rPh>
    <phoneticPr fontId="1"/>
  </si>
  <si>
    <t>2014.07.22.</t>
    <phoneticPr fontId="1"/>
  </si>
  <si>
    <t>1.00</t>
    <phoneticPr fontId="1"/>
  </si>
  <si>
    <t>版(version)</t>
    <rPh sb="0" eb="1">
      <t>ハン</t>
    </rPh>
    <phoneticPr fontId="1"/>
  </si>
  <si>
    <t>初　　版</t>
    <rPh sb="0" eb="1">
      <t>ハツ</t>
    </rPh>
    <rPh sb="3" eb="4">
      <t>ハン</t>
    </rPh>
    <phoneticPr fontId="1"/>
  </si>
  <si>
    <r>
      <t>M</t>
    </r>
    <r>
      <rPr>
        <sz val="9"/>
        <color theme="1"/>
        <rFont val="ＭＳ Ｐゴシック"/>
        <family val="3"/>
        <charset val="128"/>
        <scheme val="minor"/>
      </rPr>
      <t>　 =（</t>
    </r>
    <phoneticPr fontId="1"/>
  </si>
  <si>
    <r>
      <t>Q</t>
    </r>
    <r>
      <rPr>
        <sz val="9"/>
        <color theme="1"/>
        <rFont val="ＭＳ Ｐゴシック"/>
        <family val="3"/>
        <charset val="128"/>
        <scheme val="minor"/>
      </rPr>
      <t>　=(</t>
    </r>
    <phoneticPr fontId="1"/>
  </si>
  <si>
    <r>
      <t>τ</t>
    </r>
    <r>
      <rPr>
        <sz val="9"/>
        <color theme="1"/>
        <rFont val="ＭＳ Ｐゴシック"/>
        <family val="3"/>
        <charset val="128"/>
        <scheme val="minor"/>
      </rPr>
      <t>　=</t>
    </r>
    <phoneticPr fontId="1"/>
  </si>
  <si>
    <t>M　 =（(</t>
    <phoneticPr fontId="1"/>
  </si>
  <si>
    <t>σｂ　=</t>
    <phoneticPr fontId="1"/>
  </si>
  <si>
    <t>Q　=(</t>
    <phoneticPr fontId="1"/>
  </si>
  <si>
    <t>τ　=</t>
    <phoneticPr fontId="1"/>
  </si>
  <si>
    <t>このスパン表〈ワークシート等）は、不適切な使用、不正な処理等を行った場合、それにより生じる全ての問題、不具合について、岡山県は一切責任を負いません。</t>
    <rPh sb="5" eb="6">
      <t>ヒョウ</t>
    </rPh>
    <rPh sb="13" eb="14">
      <t>トウ</t>
    </rPh>
    <rPh sb="17" eb="20">
      <t>フテキセツ</t>
    </rPh>
    <rPh sb="21" eb="23">
      <t>シヨウ</t>
    </rPh>
    <rPh sb="24" eb="26">
      <t>フセイ</t>
    </rPh>
    <rPh sb="27" eb="29">
      <t>ショリ</t>
    </rPh>
    <rPh sb="29" eb="30">
      <t>トウ</t>
    </rPh>
    <rPh sb="31" eb="32">
      <t>オコナ</t>
    </rPh>
    <rPh sb="34" eb="36">
      <t>バアイ</t>
    </rPh>
    <rPh sb="42" eb="43">
      <t>ショウ</t>
    </rPh>
    <rPh sb="45" eb="46">
      <t>スベ</t>
    </rPh>
    <rPh sb="48" eb="50">
      <t>モンダイ</t>
    </rPh>
    <rPh sb="51" eb="54">
      <t>フグアイ</t>
    </rPh>
    <rPh sb="59" eb="62">
      <t>オカヤマケン</t>
    </rPh>
    <rPh sb="63" eb="65">
      <t>イッサイ</t>
    </rPh>
    <rPh sb="65" eb="67">
      <t>セキニン</t>
    </rPh>
    <rPh sb="68" eb="69">
      <t>オ</t>
    </rPh>
    <phoneticPr fontId="1"/>
  </si>
  <si>
    <r>
      <t>Q</t>
    </r>
    <r>
      <rPr>
        <sz val="6"/>
        <color theme="1"/>
        <rFont val="ＭＳ Ｐゴシック"/>
        <family val="3"/>
        <charset val="128"/>
        <scheme val="minor"/>
      </rPr>
      <t>集１左</t>
    </r>
    <r>
      <rPr>
        <sz val="9"/>
        <color theme="1"/>
        <rFont val="ＭＳ Ｐゴシック"/>
        <family val="3"/>
        <charset val="128"/>
        <scheme val="minor"/>
      </rPr>
      <t xml:space="preserve"> =</t>
    </r>
    <rPh sb="1" eb="2">
      <t>シュウ</t>
    </rPh>
    <rPh sb="3" eb="4">
      <t>ヒダリ</t>
    </rPh>
    <phoneticPr fontId="1"/>
  </si>
  <si>
    <r>
      <t>Q</t>
    </r>
    <r>
      <rPr>
        <sz val="6"/>
        <color theme="1"/>
        <rFont val="ＭＳ Ｐゴシック"/>
        <family val="3"/>
        <charset val="128"/>
        <scheme val="minor"/>
      </rPr>
      <t>集１右</t>
    </r>
    <r>
      <rPr>
        <sz val="9"/>
        <color theme="1"/>
        <rFont val="ＭＳ Ｐゴシック"/>
        <family val="3"/>
        <charset val="128"/>
        <scheme val="minor"/>
      </rPr>
      <t xml:space="preserve"> =</t>
    </r>
    <rPh sb="1" eb="2">
      <t>シュウ</t>
    </rPh>
    <rPh sb="3" eb="4">
      <t>ミギ</t>
    </rPh>
    <phoneticPr fontId="1"/>
  </si>
  <si>
    <r>
      <t>Q</t>
    </r>
    <r>
      <rPr>
        <sz val="6"/>
        <color theme="1"/>
        <rFont val="ＭＳ Ｐゴシック"/>
        <family val="3"/>
        <charset val="128"/>
        <scheme val="minor"/>
      </rPr>
      <t>集２左</t>
    </r>
    <r>
      <rPr>
        <sz val="9"/>
        <color theme="1"/>
        <rFont val="ＭＳ Ｐゴシック"/>
        <family val="3"/>
        <charset val="128"/>
        <scheme val="minor"/>
      </rPr>
      <t xml:space="preserve"> =</t>
    </r>
    <r>
      <rPr>
        <sz val="9"/>
        <color theme="1"/>
        <rFont val="ＭＳ Ｐゴシック"/>
        <family val="2"/>
        <charset val="128"/>
        <scheme val="minor"/>
      </rPr>
      <t/>
    </r>
    <rPh sb="1" eb="2">
      <t>シュウ</t>
    </rPh>
    <rPh sb="3" eb="4">
      <t>ヒダリ</t>
    </rPh>
    <phoneticPr fontId="1"/>
  </si>
  <si>
    <r>
      <t>Q</t>
    </r>
    <r>
      <rPr>
        <sz val="6"/>
        <color theme="1"/>
        <rFont val="ＭＳ Ｐゴシック"/>
        <family val="3"/>
        <charset val="128"/>
        <scheme val="minor"/>
      </rPr>
      <t>集２右</t>
    </r>
    <r>
      <rPr>
        <sz val="9"/>
        <color theme="1"/>
        <rFont val="ＭＳ Ｐゴシック"/>
        <family val="3"/>
        <charset val="128"/>
        <scheme val="minor"/>
      </rPr>
      <t xml:space="preserve"> =</t>
    </r>
    <r>
      <rPr>
        <sz val="9"/>
        <color theme="1"/>
        <rFont val="ＭＳ Ｐゴシック"/>
        <family val="2"/>
        <charset val="128"/>
        <scheme val="minor"/>
      </rPr>
      <t/>
    </r>
    <rPh sb="1" eb="2">
      <t>シュウ</t>
    </rPh>
    <rPh sb="3" eb="4">
      <t>ミギ</t>
    </rPh>
    <phoneticPr fontId="1"/>
  </si>
  <si>
    <t>τ　　=</t>
    <phoneticPr fontId="1"/>
  </si>
  <si>
    <r>
      <t>δ</t>
    </r>
    <r>
      <rPr>
        <sz val="6"/>
        <color theme="1"/>
        <rFont val="ＭＳ Ｐゴシック"/>
        <family val="3"/>
        <charset val="128"/>
        <scheme val="minor"/>
      </rPr>
      <t>集１</t>
    </r>
    <r>
      <rPr>
        <sz val="9"/>
        <color theme="1"/>
        <rFont val="ＭＳ Ｐゴシック"/>
        <family val="3"/>
        <charset val="128"/>
        <scheme val="minor"/>
      </rPr>
      <t>　＝</t>
    </r>
    <rPh sb="1" eb="2">
      <t>シュウ</t>
    </rPh>
    <phoneticPr fontId="1"/>
  </si>
  <si>
    <r>
      <t>δ</t>
    </r>
    <r>
      <rPr>
        <sz val="6"/>
        <color theme="1"/>
        <rFont val="ＭＳ Ｐゴシック"/>
        <family val="3"/>
        <charset val="128"/>
        <scheme val="minor"/>
      </rPr>
      <t>集２</t>
    </r>
    <r>
      <rPr>
        <sz val="9"/>
        <color theme="1"/>
        <rFont val="ＭＳ Ｐゴシック"/>
        <family val="3"/>
        <charset val="128"/>
        <scheme val="minor"/>
      </rPr>
      <t>　＝</t>
    </r>
    <rPh sb="1" eb="2">
      <t>シュウ</t>
    </rPh>
    <phoneticPr fontId="1"/>
  </si>
  <si>
    <r>
      <t>M</t>
    </r>
    <r>
      <rPr>
        <sz val="6"/>
        <color theme="1"/>
        <rFont val="ＭＳ Ｐゴシック"/>
        <family val="3"/>
        <charset val="128"/>
        <scheme val="minor"/>
      </rPr>
      <t>長</t>
    </r>
    <r>
      <rPr>
        <sz val="9"/>
        <color theme="1"/>
        <rFont val="ＭＳ Ｐゴシック"/>
        <family val="3"/>
        <charset val="128"/>
        <scheme val="minor"/>
      </rPr>
      <t>　</t>
    </r>
    <r>
      <rPr>
        <sz val="9"/>
        <color theme="1"/>
        <rFont val="ＭＳ Ｐゴシック"/>
        <family val="2"/>
        <charset val="128"/>
        <scheme val="minor"/>
      </rPr>
      <t xml:space="preserve"> =（</t>
    </r>
    <rPh sb="1" eb="2">
      <t>ナガ</t>
    </rPh>
    <phoneticPr fontId="1"/>
  </si>
  <si>
    <r>
      <t>σｂ</t>
    </r>
    <r>
      <rPr>
        <sz val="6"/>
        <color theme="1"/>
        <rFont val="ＭＳ Ｐゴシック"/>
        <family val="3"/>
        <charset val="128"/>
        <scheme val="minor"/>
      </rPr>
      <t>長</t>
    </r>
    <r>
      <rPr>
        <sz val="9"/>
        <color theme="1"/>
        <rFont val="ＭＳ Ｐゴシック"/>
        <family val="2"/>
        <charset val="128"/>
        <scheme val="minor"/>
      </rPr>
      <t>　=</t>
    </r>
    <rPh sb="2" eb="3">
      <t>チョウ</t>
    </rPh>
    <phoneticPr fontId="1"/>
  </si>
  <si>
    <r>
      <t>Q</t>
    </r>
    <r>
      <rPr>
        <sz val="6"/>
        <color theme="1"/>
        <rFont val="ＭＳ Ｐゴシック"/>
        <family val="3"/>
        <charset val="128"/>
        <scheme val="minor"/>
      </rPr>
      <t>長</t>
    </r>
    <r>
      <rPr>
        <sz val="8"/>
        <color theme="1"/>
        <rFont val="ＭＳ Ｐゴシック"/>
        <family val="3"/>
        <charset val="128"/>
        <scheme val="minor"/>
      </rPr>
      <t>　　=(</t>
    </r>
    <rPh sb="1" eb="2">
      <t>チョウ</t>
    </rPh>
    <phoneticPr fontId="1"/>
  </si>
  <si>
    <r>
      <t>Q</t>
    </r>
    <r>
      <rPr>
        <sz val="6"/>
        <color theme="1"/>
        <rFont val="ＭＳ Ｐゴシック"/>
        <family val="3"/>
        <charset val="128"/>
        <scheme val="minor"/>
      </rPr>
      <t>長雪　</t>
    </r>
    <r>
      <rPr>
        <sz val="8"/>
        <color theme="1"/>
        <rFont val="ＭＳ Ｐゴシック"/>
        <family val="3"/>
        <charset val="128"/>
        <scheme val="minor"/>
      </rPr>
      <t>　=(</t>
    </r>
    <rPh sb="1" eb="2">
      <t>チョウ</t>
    </rPh>
    <rPh sb="2" eb="3">
      <t>ユキ</t>
    </rPh>
    <phoneticPr fontId="1"/>
  </si>
  <si>
    <r>
      <t>Q</t>
    </r>
    <r>
      <rPr>
        <sz val="6"/>
        <color theme="1"/>
        <rFont val="ＭＳ Ｐゴシック"/>
        <family val="3"/>
        <charset val="128"/>
        <scheme val="minor"/>
      </rPr>
      <t>短雪</t>
    </r>
    <r>
      <rPr>
        <sz val="8"/>
        <color theme="1"/>
        <rFont val="ＭＳ Ｐゴシック"/>
        <family val="3"/>
        <charset val="128"/>
        <scheme val="minor"/>
      </rPr>
      <t>　　=(</t>
    </r>
    <rPh sb="1" eb="2">
      <t>ミジカ</t>
    </rPh>
    <rPh sb="2" eb="3">
      <t>ユキ</t>
    </rPh>
    <phoneticPr fontId="1"/>
  </si>
  <si>
    <r>
      <t>τ</t>
    </r>
    <r>
      <rPr>
        <sz val="6"/>
        <color theme="1"/>
        <rFont val="ＭＳ Ｐゴシック"/>
        <family val="3"/>
        <charset val="128"/>
        <scheme val="minor"/>
      </rPr>
      <t>長</t>
    </r>
    <r>
      <rPr>
        <sz val="9"/>
        <color theme="1"/>
        <rFont val="ＭＳ Ｐゴシック"/>
        <family val="2"/>
        <charset val="128"/>
        <scheme val="minor"/>
      </rPr>
      <t>　　　=</t>
    </r>
    <rPh sb="1" eb="2">
      <t>ナガ</t>
    </rPh>
    <phoneticPr fontId="1"/>
  </si>
  <si>
    <r>
      <t>τ</t>
    </r>
    <r>
      <rPr>
        <sz val="6"/>
        <color theme="1"/>
        <rFont val="ＭＳ Ｐゴシック"/>
        <family val="3"/>
        <charset val="128"/>
        <scheme val="minor"/>
      </rPr>
      <t>長雪</t>
    </r>
    <r>
      <rPr>
        <sz val="9"/>
        <color theme="1"/>
        <rFont val="ＭＳ Ｐゴシック"/>
        <family val="2"/>
        <charset val="128"/>
        <scheme val="minor"/>
      </rPr>
      <t>　　=</t>
    </r>
    <rPh sb="1" eb="2">
      <t>ナガ</t>
    </rPh>
    <rPh sb="2" eb="3">
      <t>ユキ</t>
    </rPh>
    <phoneticPr fontId="1"/>
  </si>
  <si>
    <r>
      <t>τ</t>
    </r>
    <r>
      <rPr>
        <sz val="6"/>
        <color theme="1"/>
        <rFont val="ＭＳ Ｐゴシック"/>
        <family val="3"/>
        <charset val="128"/>
        <scheme val="minor"/>
      </rPr>
      <t>短雪</t>
    </r>
    <r>
      <rPr>
        <sz val="9"/>
        <color theme="1"/>
        <rFont val="ＭＳ Ｐゴシック"/>
        <family val="2"/>
        <charset val="128"/>
        <scheme val="minor"/>
      </rPr>
      <t>　　=</t>
    </r>
    <rPh sb="1" eb="2">
      <t>タン</t>
    </rPh>
    <rPh sb="2" eb="3">
      <t>ユキ</t>
    </rPh>
    <phoneticPr fontId="1"/>
  </si>
  <si>
    <t>（長　期）</t>
    <rPh sb="1" eb="2">
      <t>チョウ</t>
    </rPh>
    <rPh sb="3" eb="4">
      <t>キ</t>
    </rPh>
    <phoneticPr fontId="1"/>
  </si>
  <si>
    <r>
      <t>M</t>
    </r>
    <r>
      <rPr>
        <sz val="6"/>
        <color theme="1"/>
        <rFont val="ＭＳ Ｐゴシック"/>
        <family val="3"/>
        <charset val="128"/>
        <scheme val="minor"/>
      </rPr>
      <t>長</t>
    </r>
    <r>
      <rPr>
        <sz val="9"/>
        <color theme="1"/>
        <rFont val="ＭＳ Ｐゴシック"/>
        <family val="3"/>
        <charset val="128"/>
        <scheme val="minor"/>
      </rPr>
      <t>　</t>
    </r>
    <r>
      <rPr>
        <sz val="9"/>
        <color theme="1"/>
        <rFont val="ＭＳ Ｐゴシック"/>
        <family val="2"/>
        <charset val="128"/>
        <scheme val="minor"/>
      </rPr>
      <t xml:space="preserve"> =（(</t>
    </r>
    <rPh sb="1" eb="2">
      <t>ナガ</t>
    </rPh>
    <phoneticPr fontId="1"/>
  </si>
  <si>
    <r>
      <t>M</t>
    </r>
    <r>
      <rPr>
        <sz val="6"/>
        <color theme="1"/>
        <rFont val="ＭＳ Ｐゴシック"/>
        <family val="3"/>
        <charset val="128"/>
        <scheme val="minor"/>
      </rPr>
      <t>長雪　</t>
    </r>
    <r>
      <rPr>
        <sz val="9"/>
        <color theme="1"/>
        <rFont val="ＭＳ Ｐゴシック"/>
        <family val="2"/>
        <charset val="128"/>
        <scheme val="minor"/>
      </rPr>
      <t xml:space="preserve"> =（(</t>
    </r>
    <rPh sb="1" eb="2">
      <t>ナガ</t>
    </rPh>
    <rPh sb="2" eb="3">
      <t>ユキ</t>
    </rPh>
    <phoneticPr fontId="1"/>
  </si>
  <si>
    <r>
      <t>M</t>
    </r>
    <r>
      <rPr>
        <sz val="6"/>
        <color theme="1"/>
        <rFont val="ＭＳ Ｐゴシック"/>
        <family val="3"/>
        <charset val="128"/>
        <scheme val="minor"/>
      </rPr>
      <t>短雪</t>
    </r>
    <r>
      <rPr>
        <sz val="9"/>
        <color theme="1"/>
        <rFont val="ＭＳ Ｐゴシック"/>
        <family val="3"/>
        <charset val="128"/>
        <scheme val="minor"/>
      </rPr>
      <t>　</t>
    </r>
    <r>
      <rPr>
        <sz val="9"/>
        <color theme="1"/>
        <rFont val="ＭＳ Ｐゴシック"/>
        <family val="2"/>
        <charset val="128"/>
        <scheme val="minor"/>
      </rPr>
      <t>=（(</t>
    </r>
    <rPh sb="1" eb="2">
      <t>タン</t>
    </rPh>
    <rPh sb="2" eb="3">
      <t>ユキ</t>
    </rPh>
    <phoneticPr fontId="1"/>
  </si>
  <si>
    <r>
      <t>σｂ</t>
    </r>
    <r>
      <rPr>
        <sz val="6"/>
        <color theme="1"/>
        <rFont val="ＭＳ Ｐゴシック"/>
        <family val="3"/>
        <charset val="128"/>
        <scheme val="minor"/>
      </rPr>
      <t>長雪</t>
    </r>
    <r>
      <rPr>
        <sz val="9"/>
        <color theme="1"/>
        <rFont val="ＭＳ Ｐゴシック"/>
        <family val="2"/>
        <charset val="128"/>
        <scheme val="minor"/>
      </rPr>
      <t>　=</t>
    </r>
    <rPh sb="2" eb="3">
      <t>チョウ</t>
    </rPh>
    <rPh sb="3" eb="4">
      <t>ユキ</t>
    </rPh>
    <phoneticPr fontId="1"/>
  </si>
  <si>
    <r>
      <t>σｂ</t>
    </r>
    <r>
      <rPr>
        <sz val="6"/>
        <color theme="1"/>
        <rFont val="ＭＳ Ｐゴシック"/>
        <family val="3"/>
        <charset val="128"/>
        <scheme val="minor"/>
      </rPr>
      <t>短雪</t>
    </r>
    <r>
      <rPr>
        <sz val="9"/>
        <color theme="1"/>
        <rFont val="ＭＳ Ｐゴシック"/>
        <family val="2"/>
        <charset val="128"/>
        <scheme val="minor"/>
      </rPr>
      <t>　=</t>
    </r>
    <rPh sb="2" eb="3">
      <t>ミジカイ</t>
    </rPh>
    <rPh sb="3" eb="4">
      <t>ユキ</t>
    </rPh>
    <phoneticPr fontId="1"/>
  </si>
  <si>
    <r>
      <t>M</t>
    </r>
    <r>
      <rPr>
        <sz val="6"/>
        <color theme="1"/>
        <rFont val="ＭＳ Ｐゴシック"/>
        <family val="3"/>
        <charset val="128"/>
        <scheme val="minor"/>
      </rPr>
      <t>長</t>
    </r>
    <r>
      <rPr>
        <sz val="9"/>
        <color theme="1"/>
        <rFont val="ＭＳ Ｐゴシック"/>
        <family val="2"/>
        <charset val="128"/>
        <scheme val="minor"/>
      </rPr>
      <t xml:space="preserve"> </t>
    </r>
    <r>
      <rPr>
        <sz val="9"/>
        <color theme="1"/>
        <rFont val="ＭＳ Ｐゴシック"/>
        <family val="3"/>
        <charset val="128"/>
        <scheme val="minor"/>
      </rPr>
      <t>x 1000</t>
    </r>
    <rPh sb="1" eb="2">
      <t>ナガ</t>
    </rPh>
    <phoneticPr fontId="1"/>
  </si>
  <si>
    <r>
      <t>M</t>
    </r>
    <r>
      <rPr>
        <sz val="6"/>
        <color theme="1"/>
        <rFont val="ＭＳ Ｐゴシック"/>
        <family val="3"/>
        <charset val="128"/>
        <scheme val="minor"/>
      </rPr>
      <t>長雪</t>
    </r>
    <r>
      <rPr>
        <sz val="9"/>
        <color theme="1"/>
        <rFont val="ＭＳ Ｐゴシック"/>
        <family val="2"/>
        <charset val="128"/>
        <scheme val="minor"/>
      </rPr>
      <t xml:space="preserve"> </t>
    </r>
    <r>
      <rPr>
        <sz val="9"/>
        <color theme="1"/>
        <rFont val="ＭＳ Ｐゴシック"/>
        <family val="3"/>
        <charset val="128"/>
        <scheme val="minor"/>
      </rPr>
      <t>x 1000</t>
    </r>
    <rPh sb="1" eb="2">
      <t>ナガ</t>
    </rPh>
    <rPh sb="2" eb="3">
      <t>ユキ</t>
    </rPh>
    <phoneticPr fontId="1"/>
  </si>
  <si>
    <r>
      <t>M</t>
    </r>
    <r>
      <rPr>
        <sz val="6"/>
        <color theme="1"/>
        <rFont val="ＭＳ Ｐゴシック"/>
        <family val="3"/>
        <charset val="128"/>
        <scheme val="minor"/>
      </rPr>
      <t>短雪</t>
    </r>
    <r>
      <rPr>
        <sz val="9"/>
        <color theme="1"/>
        <rFont val="ＭＳ Ｐゴシック"/>
        <family val="2"/>
        <charset val="128"/>
        <scheme val="minor"/>
      </rPr>
      <t xml:space="preserve"> </t>
    </r>
    <r>
      <rPr>
        <sz val="9"/>
        <color theme="1"/>
        <rFont val="ＭＳ Ｐゴシック"/>
        <family val="3"/>
        <charset val="128"/>
        <scheme val="minor"/>
      </rPr>
      <t>x 1000</t>
    </r>
    <rPh sb="1" eb="2">
      <t>タン</t>
    </rPh>
    <rPh sb="2" eb="3">
      <t>ユキ</t>
    </rPh>
    <phoneticPr fontId="1"/>
  </si>
  <si>
    <r>
      <t>Q</t>
    </r>
    <r>
      <rPr>
        <sz val="6"/>
        <color theme="1"/>
        <rFont val="ＭＳ Ｐゴシック"/>
        <family val="3"/>
        <charset val="128"/>
        <scheme val="minor"/>
      </rPr>
      <t>長　</t>
    </r>
    <r>
      <rPr>
        <sz val="9"/>
        <color theme="1"/>
        <rFont val="ＭＳ Ｐゴシック"/>
        <family val="2"/>
        <charset val="128"/>
        <scheme val="minor"/>
      </rPr>
      <t>=</t>
    </r>
    <rPh sb="1" eb="2">
      <t>チョウ</t>
    </rPh>
    <phoneticPr fontId="1"/>
  </si>
  <si>
    <r>
      <t>Q</t>
    </r>
    <r>
      <rPr>
        <sz val="6"/>
        <color theme="1"/>
        <rFont val="ＭＳ Ｐゴシック"/>
        <family val="3"/>
        <charset val="128"/>
        <scheme val="minor"/>
      </rPr>
      <t>長雪　</t>
    </r>
    <r>
      <rPr>
        <sz val="9"/>
        <color theme="1"/>
        <rFont val="ＭＳ Ｐゴシック"/>
        <family val="2"/>
        <charset val="128"/>
        <scheme val="minor"/>
      </rPr>
      <t>=</t>
    </r>
    <rPh sb="1" eb="2">
      <t>チョウ</t>
    </rPh>
    <rPh sb="2" eb="3">
      <t>ユキ</t>
    </rPh>
    <phoneticPr fontId="1"/>
  </si>
  <si>
    <r>
      <t>Q</t>
    </r>
    <r>
      <rPr>
        <sz val="6"/>
        <color theme="1"/>
        <rFont val="ＭＳ Ｐゴシック"/>
        <family val="3"/>
        <charset val="128"/>
        <scheme val="minor"/>
      </rPr>
      <t>短雪</t>
    </r>
    <r>
      <rPr>
        <sz val="9"/>
        <color theme="1"/>
        <rFont val="ＭＳ Ｐゴシック"/>
        <family val="2"/>
        <charset val="128"/>
        <scheme val="minor"/>
      </rPr>
      <t>　=</t>
    </r>
    <rPh sb="1" eb="2">
      <t>タン</t>
    </rPh>
    <rPh sb="2" eb="3">
      <t>ユキ</t>
    </rPh>
    <phoneticPr fontId="1"/>
  </si>
  <si>
    <r>
      <t>τ</t>
    </r>
    <r>
      <rPr>
        <sz val="6"/>
        <color theme="1"/>
        <rFont val="ＭＳ Ｐゴシック"/>
        <family val="3"/>
        <charset val="128"/>
        <scheme val="minor"/>
      </rPr>
      <t>長　</t>
    </r>
    <r>
      <rPr>
        <sz val="9"/>
        <color theme="1"/>
        <rFont val="ＭＳ Ｐゴシック"/>
        <family val="2"/>
        <charset val="128"/>
        <scheme val="minor"/>
      </rPr>
      <t>　=</t>
    </r>
    <rPh sb="1" eb="2">
      <t>ナガ</t>
    </rPh>
    <phoneticPr fontId="1"/>
  </si>
  <si>
    <r>
      <t>τ</t>
    </r>
    <r>
      <rPr>
        <sz val="6"/>
        <color theme="1"/>
        <rFont val="ＭＳ Ｐゴシック"/>
        <family val="3"/>
        <charset val="128"/>
        <scheme val="minor"/>
      </rPr>
      <t>長雪　</t>
    </r>
    <r>
      <rPr>
        <sz val="9"/>
        <color theme="1"/>
        <rFont val="ＭＳ Ｐゴシック"/>
        <family val="2"/>
        <charset val="128"/>
        <scheme val="minor"/>
      </rPr>
      <t>　=</t>
    </r>
    <rPh sb="1" eb="2">
      <t>ナガ</t>
    </rPh>
    <rPh sb="2" eb="3">
      <t>ユキ</t>
    </rPh>
    <phoneticPr fontId="1"/>
  </si>
  <si>
    <r>
      <t>τ</t>
    </r>
    <r>
      <rPr>
        <sz val="6"/>
        <color theme="1"/>
        <rFont val="ＭＳ Ｐゴシック"/>
        <family val="3"/>
        <charset val="128"/>
        <scheme val="minor"/>
      </rPr>
      <t>短雪　</t>
    </r>
    <r>
      <rPr>
        <sz val="9"/>
        <color theme="1"/>
        <rFont val="ＭＳ Ｐゴシック"/>
        <family val="2"/>
        <charset val="128"/>
        <scheme val="minor"/>
      </rPr>
      <t>　=</t>
    </r>
    <rPh sb="1" eb="2">
      <t>ミジカイ</t>
    </rPh>
    <rPh sb="2" eb="3">
      <t>ユキ</t>
    </rPh>
    <phoneticPr fontId="1"/>
  </si>
  <si>
    <r>
      <t>δ</t>
    </r>
    <r>
      <rPr>
        <sz val="6"/>
        <color theme="1"/>
        <rFont val="ＭＳ Ｐゴシック"/>
        <family val="3"/>
        <charset val="128"/>
        <scheme val="minor"/>
      </rPr>
      <t>長</t>
    </r>
    <r>
      <rPr>
        <sz val="9"/>
        <color theme="1"/>
        <rFont val="ＭＳ Ｐゴシック"/>
        <family val="2"/>
        <charset val="128"/>
        <scheme val="minor"/>
      </rPr>
      <t xml:space="preserve"> = ( 5 x </t>
    </r>
    <rPh sb="1" eb="2">
      <t>チョウ</t>
    </rPh>
    <phoneticPr fontId="1"/>
  </si>
  <si>
    <r>
      <t>δ</t>
    </r>
    <r>
      <rPr>
        <sz val="6"/>
        <color theme="1"/>
        <rFont val="ＭＳ Ｐゴシック"/>
        <family val="3"/>
        <charset val="128"/>
        <scheme val="minor"/>
      </rPr>
      <t>長雪</t>
    </r>
    <r>
      <rPr>
        <sz val="9"/>
        <color theme="1"/>
        <rFont val="ＭＳ Ｐゴシック"/>
        <family val="2"/>
        <charset val="128"/>
        <scheme val="minor"/>
      </rPr>
      <t xml:space="preserve"> = ( 5 x </t>
    </r>
    <rPh sb="1" eb="2">
      <t>チョウ</t>
    </rPh>
    <rPh sb="2" eb="3">
      <t>ユキ</t>
    </rPh>
    <phoneticPr fontId="1"/>
  </si>
  <si>
    <r>
      <t>δ</t>
    </r>
    <r>
      <rPr>
        <sz val="6"/>
        <color theme="1"/>
        <rFont val="ＭＳ Ｐゴシック"/>
        <family val="3"/>
        <charset val="128"/>
        <scheme val="minor"/>
      </rPr>
      <t>短雪</t>
    </r>
    <r>
      <rPr>
        <sz val="9"/>
        <color theme="1"/>
        <rFont val="ＭＳ Ｐゴシック"/>
        <family val="2"/>
        <charset val="128"/>
        <scheme val="minor"/>
      </rPr>
      <t xml:space="preserve"> = ( 5 x </t>
    </r>
    <rPh sb="1" eb="2">
      <t>タン</t>
    </rPh>
    <rPh sb="2" eb="3">
      <t>ユキ</t>
    </rPh>
    <phoneticPr fontId="1"/>
  </si>
  <si>
    <r>
      <t>M</t>
    </r>
    <r>
      <rPr>
        <sz val="6"/>
        <color theme="1"/>
        <rFont val="ＭＳ Ｐゴシック"/>
        <family val="3"/>
        <charset val="128"/>
        <scheme val="minor"/>
      </rPr>
      <t>全　　</t>
    </r>
    <r>
      <rPr>
        <sz val="9"/>
        <color theme="1"/>
        <rFont val="ＭＳ Ｐゴシック"/>
        <family val="3"/>
        <charset val="128"/>
        <scheme val="minor"/>
      </rPr>
      <t xml:space="preserve"> =（(</t>
    </r>
    <rPh sb="1" eb="2">
      <t>ゼン</t>
    </rPh>
    <phoneticPr fontId="1"/>
  </si>
  <si>
    <r>
      <t>M</t>
    </r>
    <r>
      <rPr>
        <sz val="6"/>
        <color theme="1"/>
        <rFont val="ＭＳ Ｐゴシック"/>
        <family val="3"/>
        <charset val="128"/>
        <scheme val="minor"/>
      </rPr>
      <t>集１長</t>
    </r>
    <r>
      <rPr>
        <sz val="9"/>
        <color theme="1"/>
        <rFont val="ＭＳ Ｐゴシック"/>
        <family val="3"/>
        <charset val="128"/>
        <scheme val="minor"/>
      </rPr>
      <t>　=</t>
    </r>
    <rPh sb="1" eb="2">
      <t>シュウ</t>
    </rPh>
    <rPh sb="3" eb="4">
      <t>チョウ</t>
    </rPh>
    <phoneticPr fontId="1"/>
  </si>
  <si>
    <r>
      <t>M</t>
    </r>
    <r>
      <rPr>
        <sz val="6"/>
        <color theme="1"/>
        <rFont val="ＭＳ Ｐゴシック"/>
        <family val="3"/>
        <charset val="128"/>
        <scheme val="minor"/>
      </rPr>
      <t>集１長雪</t>
    </r>
    <r>
      <rPr>
        <sz val="9"/>
        <color theme="1"/>
        <rFont val="ＭＳ Ｐゴシック"/>
        <family val="3"/>
        <charset val="128"/>
        <scheme val="minor"/>
      </rPr>
      <t>　=</t>
    </r>
    <rPh sb="1" eb="2">
      <t>シュウ</t>
    </rPh>
    <rPh sb="3" eb="4">
      <t>チョウ</t>
    </rPh>
    <rPh sb="4" eb="5">
      <t>ユキ</t>
    </rPh>
    <phoneticPr fontId="1"/>
  </si>
  <si>
    <r>
      <t>M集</t>
    </r>
    <r>
      <rPr>
        <sz val="6"/>
        <color theme="1"/>
        <rFont val="ＭＳ Ｐゴシック"/>
        <family val="3"/>
        <charset val="128"/>
        <scheme val="minor"/>
      </rPr>
      <t>１短雪</t>
    </r>
    <r>
      <rPr>
        <sz val="9"/>
        <color theme="1"/>
        <rFont val="ＭＳ Ｐゴシック"/>
        <family val="3"/>
        <charset val="128"/>
        <scheme val="minor"/>
      </rPr>
      <t>　=</t>
    </r>
    <rPh sb="1" eb="2">
      <t>シュウ</t>
    </rPh>
    <rPh sb="3" eb="4">
      <t>タン</t>
    </rPh>
    <rPh sb="4" eb="5">
      <t>ユキ</t>
    </rPh>
    <phoneticPr fontId="1"/>
  </si>
  <si>
    <r>
      <t>σ</t>
    </r>
    <r>
      <rPr>
        <sz val="6"/>
        <color theme="1"/>
        <rFont val="ＭＳ Ｐゴシック"/>
        <family val="3"/>
        <charset val="128"/>
        <scheme val="minor"/>
      </rPr>
      <t>ｂ長</t>
    </r>
    <r>
      <rPr>
        <sz val="9"/>
        <color theme="1"/>
        <rFont val="ＭＳ Ｐゴシック"/>
        <family val="3"/>
        <charset val="128"/>
        <scheme val="minor"/>
      </rPr>
      <t>　=</t>
    </r>
    <rPh sb="2" eb="3">
      <t>チョウ</t>
    </rPh>
    <phoneticPr fontId="1"/>
  </si>
  <si>
    <r>
      <t>σ</t>
    </r>
    <r>
      <rPr>
        <sz val="6"/>
        <color theme="1"/>
        <rFont val="ＭＳ Ｐゴシック"/>
        <family val="3"/>
        <charset val="128"/>
        <scheme val="minor"/>
      </rPr>
      <t>ｂ長雪</t>
    </r>
    <r>
      <rPr>
        <sz val="9"/>
        <color theme="1"/>
        <rFont val="ＭＳ Ｐゴシック"/>
        <family val="3"/>
        <charset val="128"/>
        <scheme val="minor"/>
      </rPr>
      <t>　=</t>
    </r>
    <rPh sb="2" eb="3">
      <t>チョウ</t>
    </rPh>
    <rPh sb="3" eb="4">
      <t>ユキ</t>
    </rPh>
    <phoneticPr fontId="1"/>
  </si>
  <si>
    <r>
      <t>σ</t>
    </r>
    <r>
      <rPr>
        <sz val="6"/>
        <color theme="1"/>
        <rFont val="ＭＳ Ｐゴシック"/>
        <family val="3"/>
        <charset val="128"/>
        <scheme val="minor"/>
      </rPr>
      <t>ｂ短雪</t>
    </r>
    <r>
      <rPr>
        <sz val="9"/>
        <color theme="1"/>
        <rFont val="ＭＳ Ｐゴシック"/>
        <family val="3"/>
        <charset val="128"/>
        <scheme val="minor"/>
      </rPr>
      <t>　=</t>
    </r>
    <rPh sb="2" eb="3">
      <t>ミジカイ</t>
    </rPh>
    <rPh sb="3" eb="4">
      <t>ユキ</t>
    </rPh>
    <phoneticPr fontId="1"/>
  </si>
  <si>
    <r>
      <t>M</t>
    </r>
    <r>
      <rPr>
        <sz val="6"/>
        <color theme="1"/>
        <rFont val="ＭＳ Ｐゴシック"/>
        <family val="3"/>
        <charset val="128"/>
        <scheme val="minor"/>
      </rPr>
      <t>集１</t>
    </r>
    <r>
      <rPr>
        <sz val="9"/>
        <color theme="1"/>
        <rFont val="ＭＳ Ｐゴシック"/>
        <family val="3"/>
        <charset val="128"/>
        <scheme val="minor"/>
      </rPr>
      <t>　=</t>
    </r>
    <rPh sb="1" eb="2">
      <t>シュウ</t>
    </rPh>
    <phoneticPr fontId="1"/>
  </si>
  <si>
    <r>
      <t>M</t>
    </r>
    <r>
      <rPr>
        <sz val="6"/>
        <color theme="1"/>
        <rFont val="ＭＳ Ｐゴシック"/>
        <family val="3"/>
        <charset val="128"/>
        <scheme val="minor"/>
      </rPr>
      <t>集2</t>
    </r>
    <r>
      <rPr>
        <sz val="9"/>
        <color theme="1"/>
        <rFont val="ＭＳ Ｐゴシック"/>
        <family val="3"/>
        <charset val="128"/>
        <scheme val="minor"/>
      </rPr>
      <t>　=</t>
    </r>
    <rPh sb="1" eb="2">
      <t>シュウ</t>
    </rPh>
    <phoneticPr fontId="1"/>
  </si>
  <si>
    <r>
      <t>M</t>
    </r>
    <r>
      <rPr>
        <sz val="6"/>
        <color theme="1"/>
        <rFont val="ＭＳ Ｐゴシック"/>
        <family val="3"/>
        <charset val="128"/>
        <scheme val="minor"/>
      </rPr>
      <t>集１</t>
    </r>
    <r>
      <rPr>
        <sz val="9"/>
        <color theme="1"/>
        <rFont val="ＭＳ Ｐゴシック"/>
        <family val="2"/>
        <charset val="128"/>
        <scheme val="minor"/>
      </rPr>
      <t xml:space="preserve"> +</t>
    </r>
    <rPh sb="1" eb="2">
      <t>シュウ</t>
    </rPh>
    <phoneticPr fontId="1"/>
  </si>
  <si>
    <r>
      <t>( M</t>
    </r>
    <r>
      <rPr>
        <sz val="6"/>
        <color theme="1"/>
        <rFont val="ＭＳ Ｐゴシック"/>
        <family val="3"/>
        <charset val="128"/>
        <scheme val="minor"/>
      </rPr>
      <t>集2</t>
    </r>
    <r>
      <rPr>
        <sz val="11"/>
        <color theme="1"/>
        <rFont val="ＭＳ Ｐゴシック"/>
        <family val="2"/>
        <charset val="128"/>
        <scheme val="minor"/>
      </rPr>
      <t xml:space="preserve">  x   </t>
    </r>
    <rPh sb="3" eb="4">
      <t>シュウ</t>
    </rPh>
    <phoneticPr fontId="1"/>
  </si>
  <si>
    <r>
      <t>M</t>
    </r>
    <r>
      <rPr>
        <sz val="6"/>
        <color theme="1"/>
        <rFont val="ＭＳ Ｐゴシック"/>
        <family val="3"/>
        <charset val="128"/>
        <scheme val="minor"/>
      </rPr>
      <t>集2</t>
    </r>
    <r>
      <rPr>
        <sz val="9"/>
        <color theme="1"/>
        <rFont val="ＭＳ Ｐゴシック"/>
        <family val="2"/>
        <charset val="128"/>
        <scheme val="minor"/>
      </rPr>
      <t xml:space="preserve"> +</t>
    </r>
    <rPh sb="1" eb="2">
      <t>シュウ</t>
    </rPh>
    <phoneticPr fontId="1"/>
  </si>
  <si>
    <r>
      <t>( M</t>
    </r>
    <r>
      <rPr>
        <sz val="6"/>
        <color theme="1"/>
        <rFont val="ＭＳ Ｐゴシック"/>
        <family val="3"/>
        <charset val="128"/>
        <scheme val="minor"/>
      </rPr>
      <t>集1</t>
    </r>
    <r>
      <rPr>
        <sz val="11"/>
        <color theme="1"/>
        <rFont val="ＭＳ Ｐゴシック"/>
        <family val="2"/>
        <charset val="128"/>
        <scheme val="minor"/>
      </rPr>
      <t xml:space="preserve">  x   </t>
    </r>
    <rPh sb="3" eb="4">
      <t>シュウ</t>
    </rPh>
    <phoneticPr fontId="1"/>
  </si>
  <si>
    <r>
      <t>M</t>
    </r>
    <r>
      <rPr>
        <sz val="6"/>
        <color theme="1"/>
        <rFont val="ＭＳ Ｐゴシック"/>
        <family val="3"/>
        <charset val="128"/>
        <scheme val="minor"/>
      </rPr>
      <t>長</t>
    </r>
    <r>
      <rPr>
        <sz val="9"/>
        <color theme="1"/>
        <rFont val="ＭＳ Ｐゴシック"/>
        <family val="3"/>
        <charset val="128"/>
        <scheme val="minor"/>
      </rPr>
      <t xml:space="preserve"> x 1000</t>
    </r>
    <rPh sb="1" eb="2">
      <t>ナガ</t>
    </rPh>
    <phoneticPr fontId="1"/>
  </si>
  <si>
    <r>
      <t>M</t>
    </r>
    <r>
      <rPr>
        <sz val="6"/>
        <color theme="1"/>
        <rFont val="ＭＳ Ｐゴシック"/>
        <family val="3"/>
        <charset val="128"/>
        <scheme val="minor"/>
      </rPr>
      <t>長雪</t>
    </r>
    <r>
      <rPr>
        <sz val="9"/>
        <color theme="1"/>
        <rFont val="ＭＳ Ｐゴシック"/>
        <family val="3"/>
        <charset val="128"/>
        <scheme val="minor"/>
      </rPr>
      <t xml:space="preserve"> x 1000</t>
    </r>
    <rPh sb="1" eb="2">
      <t>ナガ</t>
    </rPh>
    <rPh sb="2" eb="3">
      <t>ユキ</t>
    </rPh>
    <phoneticPr fontId="1"/>
  </si>
  <si>
    <r>
      <t xml:space="preserve">( </t>
    </r>
    <r>
      <rPr>
        <sz val="9"/>
        <color theme="1"/>
        <rFont val="ＭＳ Ｐゴシック"/>
        <family val="3"/>
        <charset val="128"/>
        <scheme val="minor"/>
      </rPr>
      <t>M</t>
    </r>
    <r>
      <rPr>
        <sz val="6"/>
        <color theme="1"/>
        <rFont val="ＭＳ Ｐゴシック"/>
        <family val="3"/>
        <charset val="128"/>
        <scheme val="minor"/>
      </rPr>
      <t>集2</t>
    </r>
    <r>
      <rPr>
        <sz val="11"/>
        <color theme="1"/>
        <rFont val="ＭＳ Ｐゴシック"/>
        <family val="2"/>
        <charset val="128"/>
        <scheme val="minor"/>
      </rPr>
      <t xml:space="preserve">  x   </t>
    </r>
    <rPh sb="3" eb="4">
      <t>シュウ</t>
    </rPh>
    <phoneticPr fontId="1"/>
  </si>
  <si>
    <r>
      <rPr>
        <sz val="9"/>
        <color theme="1"/>
        <rFont val="ＭＳ Ｐゴシック"/>
        <family val="3"/>
        <charset val="128"/>
        <scheme val="minor"/>
      </rPr>
      <t>( M</t>
    </r>
    <r>
      <rPr>
        <sz val="6"/>
        <color theme="1"/>
        <rFont val="ＭＳ Ｐゴシック"/>
        <family val="3"/>
        <charset val="128"/>
        <scheme val="minor"/>
      </rPr>
      <t>集1</t>
    </r>
    <r>
      <rPr>
        <sz val="11"/>
        <color theme="1"/>
        <rFont val="ＭＳ Ｐゴシック"/>
        <family val="2"/>
        <charset val="128"/>
        <scheme val="minor"/>
      </rPr>
      <t xml:space="preserve">  x   </t>
    </r>
    <rPh sb="3" eb="4">
      <t>シュウ</t>
    </rPh>
    <phoneticPr fontId="1"/>
  </si>
  <si>
    <r>
      <t>σ</t>
    </r>
    <r>
      <rPr>
        <sz val="6"/>
        <color theme="1"/>
        <rFont val="ＭＳ Ｐゴシック"/>
        <family val="3"/>
        <charset val="128"/>
        <scheme val="minor"/>
      </rPr>
      <t>ｂ短雪</t>
    </r>
    <r>
      <rPr>
        <sz val="9"/>
        <color theme="1"/>
        <rFont val="ＭＳ Ｐゴシック"/>
        <family val="3"/>
        <charset val="128"/>
        <scheme val="minor"/>
      </rPr>
      <t>　=</t>
    </r>
    <rPh sb="2" eb="3">
      <t>タン</t>
    </rPh>
    <rPh sb="3" eb="4">
      <t>ユキ</t>
    </rPh>
    <phoneticPr fontId="1"/>
  </si>
  <si>
    <r>
      <t xml:space="preserve">( </t>
    </r>
    <r>
      <rPr>
        <sz val="9"/>
        <color theme="1"/>
        <rFont val="ＭＳ Ｐゴシック"/>
        <family val="3"/>
        <charset val="128"/>
        <scheme val="minor"/>
      </rPr>
      <t>M</t>
    </r>
    <r>
      <rPr>
        <sz val="6"/>
        <color theme="1"/>
        <rFont val="ＭＳ Ｐゴシック"/>
        <family val="3"/>
        <charset val="128"/>
        <scheme val="minor"/>
      </rPr>
      <t>集1</t>
    </r>
    <r>
      <rPr>
        <sz val="11"/>
        <color theme="1"/>
        <rFont val="ＭＳ Ｐゴシック"/>
        <family val="2"/>
        <charset val="128"/>
        <scheme val="minor"/>
      </rPr>
      <t xml:space="preserve">  x   </t>
    </r>
    <rPh sb="3" eb="4">
      <t>シュウ</t>
    </rPh>
    <phoneticPr fontId="1"/>
  </si>
  <si>
    <r>
      <t>M</t>
    </r>
    <r>
      <rPr>
        <sz val="6"/>
        <color theme="1"/>
        <rFont val="ＭＳ Ｐゴシック"/>
        <family val="3"/>
        <charset val="128"/>
        <scheme val="minor"/>
      </rPr>
      <t>短雪</t>
    </r>
    <r>
      <rPr>
        <sz val="9"/>
        <color theme="1"/>
        <rFont val="ＭＳ Ｐゴシック"/>
        <family val="3"/>
        <charset val="128"/>
        <scheme val="minor"/>
      </rPr>
      <t xml:space="preserve"> x 1000</t>
    </r>
    <rPh sb="1" eb="2">
      <t>タン</t>
    </rPh>
    <rPh sb="2" eb="3">
      <t>ユキ</t>
    </rPh>
    <phoneticPr fontId="1"/>
  </si>
  <si>
    <r>
      <t>Q</t>
    </r>
    <r>
      <rPr>
        <sz val="6"/>
        <color theme="1"/>
        <rFont val="ＭＳ Ｐゴシック"/>
        <family val="3"/>
        <charset val="128"/>
        <scheme val="minor"/>
      </rPr>
      <t>長　</t>
    </r>
    <r>
      <rPr>
        <sz val="9"/>
        <color theme="1"/>
        <rFont val="ＭＳ Ｐゴシック"/>
        <family val="3"/>
        <charset val="128"/>
        <scheme val="minor"/>
      </rPr>
      <t>　=</t>
    </r>
    <rPh sb="1" eb="2">
      <t>チョウ</t>
    </rPh>
    <phoneticPr fontId="1"/>
  </si>
  <si>
    <r>
      <t>Q</t>
    </r>
    <r>
      <rPr>
        <sz val="6"/>
        <color theme="1"/>
        <rFont val="ＭＳ Ｐゴシック"/>
        <family val="3"/>
        <charset val="128"/>
        <scheme val="minor"/>
      </rPr>
      <t>集左</t>
    </r>
    <r>
      <rPr>
        <sz val="9"/>
        <color theme="1"/>
        <rFont val="ＭＳ Ｐゴシック"/>
        <family val="3"/>
        <charset val="128"/>
        <scheme val="minor"/>
      </rPr>
      <t xml:space="preserve"> =</t>
    </r>
    <rPh sb="1" eb="2">
      <t>シュウ</t>
    </rPh>
    <rPh sb="2" eb="3">
      <t>ヒダリ</t>
    </rPh>
    <phoneticPr fontId="1"/>
  </si>
  <si>
    <r>
      <t>Q</t>
    </r>
    <r>
      <rPr>
        <sz val="6"/>
        <color theme="1"/>
        <rFont val="ＭＳ Ｐゴシック"/>
        <family val="3"/>
        <charset val="128"/>
        <scheme val="minor"/>
      </rPr>
      <t>集右</t>
    </r>
    <r>
      <rPr>
        <sz val="9"/>
        <color theme="1"/>
        <rFont val="ＭＳ Ｐゴシック"/>
        <family val="3"/>
        <charset val="128"/>
        <scheme val="minor"/>
      </rPr>
      <t xml:space="preserve"> =</t>
    </r>
    <rPh sb="1" eb="2">
      <t>シュウ</t>
    </rPh>
    <rPh sb="2" eb="3">
      <t>ミギ</t>
    </rPh>
    <phoneticPr fontId="1"/>
  </si>
  <si>
    <r>
      <t>τ</t>
    </r>
    <r>
      <rPr>
        <sz val="6"/>
        <color theme="1"/>
        <rFont val="ＭＳ Ｐゴシック"/>
        <family val="3"/>
        <charset val="128"/>
        <scheme val="minor"/>
      </rPr>
      <t>長　</t>
    </r>
    <r>
      <rPr>
        <sz val="9"/>
        <color theme="1"/>
        <rFont val="ＭＳ Ｐゴシック"/>
        <family val="3"/>
        <charset val="128"/>
        <scheme val="minor"/>
      </rPr>
      <t>　=</t>
    </r>
    <rPh sb="1" eb="2">
      <t>ナガ</t>
    </rPh>
    <phoneticPr fontId="1"/>
  </si>
  <si>
    <r>
      <t>τ</t>
    </r>
    <r>
      <rPr>
        <sz val="6"/>
        <color theme="1"/>
        <rFont val="ＭＳ Ｐゴシック"/>
        <family val="3"/>
        <charset val="128"/>
        <scheme val="minor"/>
      </rPr>
      <t>長雪　</t>
    </r>
    <r>
      <rPr>
        <sz val="9"/>
        <color theme="1"/>
        <rFont val="ＭＳ Ｐゴシック"/>
        <family val="3"/>
        <charset val="128"/>
        <scheme val="minor"/>
      </rPr>
      <t>　=</t>
    </r>
    <rPh sb="1" eb="2">
      <t>ナガ</t>
    </rPh>
    <rPh sb="2" eb="3">
      <t>ユキ</t>
    </rPh>
    <phoneticPr fontId="1"/>
  </si>
  <si>
    <r>
      <t>τ</t>
    </r>
    <r>
      <rPr>
        <sz val="6"/>
        <color theme="1"/>
        <rFont val="ＭＳ Ｐゴシック"/>
        <family val="3"/>
        <charset val="128"/>
        <scheme val="minor"/>
      </rPr>
      <t>短雪　</t>
    </r>
    <r>
      <rPr>
        <sz val="9"/>
        <color theme="1"/>
        <rFont val="ＭＳ Ｐゴシック"/>
        <family val="3"/>
        <charset val="128"/>
        <scheme val="minor"/>
      </rPr>
      <t>　=</t>
    </r>
    <rPh sb="1" eb="2">
      <t>ミジカイ</t>
    </rPh>
    <rPh sb="2" eb="3">
      <t>ユキ</t>
    </rPh>
    <phoneticPr fontId="1"/>
  </si>
  <si>
    <r>
      <t>τ</t>
    </r>
    <r>
      <rPr>
        <sz val="6"/>
        <color theme="1"/>
        <rFont val="ＭＳ Ｐゴシック"/>
        <family val="3"/>
        <charset val="128"/>
        <scheme val="minor"/>
      </rPr>
      <t>短雪</t>
    </r>
    <r>
      <rPr>
        <sz val="9"/>
        <color theme="1"/>
        <rFont val="ＭＳ Ｐゴシック"/>
        <family val="3"/>
        <charset val="128"/>
        <scheme val="minor"/>
      </rPr>
      <t>　　=</t>
    </r>
    <rPh sb="1" eb="2">
      <t>ミジカイ</t>
    </rPh>
    <rPh sb="2" eb="3">
      <t>ユキ</t>
    </rPh>
    <phoneticPr fontId="1"/>
  </si>
  <si>
    <r>
      <rPr>
        <sz val="9"/>
        <color theme="1"/>
        <rFont val="ＭＳ Ｐゴシック"/>
        <family val="3"/>
        <charset val="128"/>
        <scheme val="minor"/>
      </rPr>
      <t>δ = ( 5 x</t>
    </r>
    <r>
      <rPr>
        <sz val="11"/>
        <color theme="1"/>
        <rFont val="ＭＳ Ｐゴシック"/>
        <family val="2"/>
        <charset val="128"/>
        <scheme val="minor"/>
      </rPr>
      <t xml:space="preserve"> </t>
    </r>
    <phoneticPr fontId="1"/>
  </si>
  <si>
    <r>
      <t>δ</t>
    </r>
    <r>
      <rPr>
        <sz val="6"/>
        <color theme="1"/>
        <rFont val="ＭＳ Ｐゴシック"/>
        <family val="3"/>
        <charset val="128"/>
        <scheme val="minor"/>
      </rPr>
      <t>集長</t>
    </r>
    <r>
      <rPr>
        <sz val="8"/>
        <color theme="1"/>
        <rFont val="ＭＳ Ｐゴシック"/>
        <family val="3"/>
        <charset val="128"/>
        <scheme val="minor"/>
      </rPr>
      <t>　＝</t>
    </r>
    <rPh sb="1" eb="2">
      <t>シュウ</t>
    </rPh>
    <rPh sb="2" eb="3">
      <t>チョウ</t>
    </rPh>
    <phoneticPr fontId="1"/>
  </si>
  <si>
    <r>
      <t>δ</t>
    </r>
    <r>
      <rPr>
        <sz val="6"/>
        <color theme="1"/>
        <rFont val="ＭＳ Ｐゴシック"/>
        <family val="3"/>
        <charset val="128"/>
        <scheme val="minor"/>
      </rPr>
      <t>集長雪　</t>
    </r>
    <r>
      <rPr>
        <sz val="9"/>
        <color theme="1"/>
        <rFont val="ＭＳ Ｐゴシック"/>
        <family val="3"/>
        <charset val="128"/>
        <scheme val="minor"/>
      </rPr>
      <t>＝</t>
    </r>
    <rPh sb="1" eb="2">
      <t>シュウ</t>
    </rPh>
    <rPh sb="2" eb="3">
      <t>チョウ</t>
    </rPh>
    <rPh sb="3" eb="4">
      <t>ユキ</t>
    </rPh>
    <phoneticPr fontId="1"/>
  </si>
  <si>
    <r>
      <t>δ</t>
    </r>
    <r>
      <rPr>
        <sz val="6"/>
        <color theme="1"/>
        <rFont val="ＭＳ Ｐゴシック"/>
        <family val="3"/>
        <charset val="128"/>
        <scheme val="minor"/>
      </rPr>
      <t>集短雪</t>
    </r>
    <r>
      <rPr>
        <sz val="10"/>
        <color theme="1"/>
        <rFont val="ＭＳ Ｐゴシック"/>
        <family val="2"/>
        <charset val="128"/>
        <scheme val="minor"/>
      </rPr>
      <t>　＝</t>
    </r>
    <rPh sb="1" eb="2">
      <t>シュウ</t>
    </rPh>
    <rPh sb="2" eb="3">
      <t>タン</t>
    </rPh>
    <rPh sb="3" eb="4">
      <t>ユキ</t>
    </rPh>
    <phoneticPr fontId="1"/>
  </si>
  <si>
    <t>このスパン表を用いて設計された木質住宅は、それに応じた基礎の強度を必要とします。</t>
    <rPh sb="5" eb="6">
      <t>ヒョウ</t>
    </rPh>
    <rPh sb="7" eb="8">
      <t>モチ</t>
    </rPh>
    <rPh sb="10" eb="12">
      <t>セッケイ</t>
    </rPh>
    <rPh sb="15" eb="17">
      <t>モクシツ</t>
    </rPh>
    <rPh sb="17" eb="19">
      <t>ジュウタク</t>
    </rPh>
    <rPh sb="24" eb="25">
      <t>オウ</t>
    </rPh>
    <rPh sb="27" eb="29">
      <t>キソ</t>
    </rPh>
    <rPh sb="30" eb="32">
      <t>キョウド</t>
    </rPh>
    <rPh sb="33" eb="35">
      <t>ヒツヨウ</t>
    </rPh>
    <phoneticPr fontId="1"/>
  </si>
  <si>
    <t>５）</t>
    <phoneticPr fontId="1"/>
  </si>
  <si>
    <t>このスパン表に限らず、一般に横架材のスパン表を用いて最適の部材で設計された木造躯体であっても、基礎の強度が不十分では住宅の構造としての安全性は確保できません。</t>
    <rPh sb="5" eb="6">
      <t>ヒョウ</t>
    </rPh>
    <rPh sb="7" eb="8">
      <t>カギ</t>
    </rPh>
    <rPh sb="11" eb="13">
      <t>イッパン</t>
    </rPh>
    <rPh sb="14" eb="17">
      <t>オウカザイ</t>
    </rPh>
    <rPh sb="21" eb="22">
      <t>ヒョウ</t>
    </rPh>
    <rPh sb="23" eb="24">
      <t>モチ</t>
    </rPh>
    <rPh sb="26" eb="28">
      <t>サイテキ</t>
    </rPh>
    <rPh sb="29" eb="31">
      <t>ブザイ</t>
    </rPh>
    <rPh sb="32" eb="34">
      <t>セッケイ</t>
    </rPh>
    <rPh sb="37" eb="39">
      <t>モクゾウ</t>
    </rPh>
    <rPh sb="39" eb="40">
      <t>ク</t>
    </rPh>
    <rPh sb="40" eb="41">
      <t>タイ</t>
    </rPh>
    <rPh sb="47" eb="49">
      <t>キソ</t>
    </rPh>
    <rPh sb="50" eb="52">
      <t>キョウド</t>
    </rPh>
    <rPh sb="53" eb="56">
      <t>フジュウブン</t>
    </rPh>
    <rPh sb="58" eb="60">
      <t>ジュウタク</t>
    </rPh>
    <rPh sb="61" eb="63">
      <t>コウゾウ</t>
    </rPh>
    <rPh sb="67" eb="70">
      <t>アンゼンセイ</t>
    </rPh>
    <rPh sb="71" eb="73">
      <t>カクホ</t>
    </rPh>
    <phoneticPr fontId="1"/>
  </si>
  <si>
    <r>
      <t>δ</t>
    </r>
    <r>
      <rPr>
        <sz val="6"/>
        <color theme="1"/>
        <rFont val="ＭＳ Ｐゴシック"/>
        <family val="3"/>
        <charset val="128"/>
        <scheme val="minor"/>
      </rPr>
      <t>集長１</t>
    </r>
    <r>
      <rPr>
        <sz val="10"/>
        <color theme="1"/>
        <rFont val="ＭＳ Ｐゴシック"/>
        <family val="2"/>
        <charset val="128"/>
        <scheme val="minor"/>
      </rPr>
      <t>＝</t>
    </r>
    <rPh sb="1" eb="2">
      <t>シュウ</t>
    </rPh>
    <rPh sb="2" eb="3">
      <t>チョウ</t>
    </rPh>
    <phoneticPr fontId="1"/>
  </si>
  <si>
    <r>
      <t>δ</t>
    </r>
    <r>
      <rPr>
        <sz val="6"/>
        <color theme="1"/>
        <rFont val="ＭＳ Ｐゴシック"/>
        <family val="3"/>
        <charset val="128"/>
        <scheme val="minor"/>
      </rPr>
      <t>集長２</t>
    </r>
    <r>
      <rPr>
        <sz val="10"/>
        <color theme="1"/>
        <rFont val="ＭＳ Ｐゴシック"/>
        <family val="2"/>
        <charset val="128"/>
        <scheme val="minor"/>
      </rPr>
      <t>＝</t>
    </r>
    <rPh sb="1" eb="2">
      <t>シュウ</t>
    </rPh>
    <rPh sb="2" eb="3">
      <t>チョウ</t>
    </rPh>
    <phoneticPr fontId="1"/>
  </si>
  <si>
    <r>
      <t>δ</t>
    </r>
    <r>
      <rPr>
        <sz val="6"/>
        <color theme="1"/>
        <rFont val="ＭＳ Ｐゴシック"/>
        <family val="3"/>
        <charset val="128"/>
        <scheme val="minor"/>
      </rPr>
      <t>集長雪1</t>
    </r>
    <r>
      <rPr>
        <sz val="10"/>
        <color theme="1"/>
        <rFont val="ＭＳ Ｐゴシック"/>
        <family val="2"/>
        <charset val="128"/>
        <scheme val="minor"/>
      </rPr>
      <t>＝</t>
    </r>
    <rPh sb="1" eb="2">
      <t>シュウ</t>
    </rPh>
    <rPh sb="2" eb="3">
      <t>チョウ</t>
    </rPh>
    <rPh sb="3" eb="4">
      <t>ユキ</t>
    </rPh>
    <phoneticPr fontId="1"/>
  </si>
  <si>
    <r>
      <t>δ</t>
    </r>
    <r>
      <rPr>
        <sz val="6"/>
        <color theme="1"/>
        <rFont val="ＭＳ Ｐゴシック"/>
        <family val="3"/>
        <charset val="128"/>
        <scheme val="minor"/>
      </rPr>
      <t>集長雪2</t>
    </r>
    <r>
      <rPr>
        <sz val="10"/>
        <color theme="1"/>
        <rFont val="ＭＳ Ｐゴシック"/>
        <family val="2"/>
        <charset val="128"/>
        <scheme val="minor"/>
      </rPr>
      <t>＝</t>
    </r>
    <rPh sb="1" eb="2">
      <t>シュウ</t>
    </rPh>
    <rPh sb="2" eb="3">
      <t>チョウ</t>
    </rPh>
    <rPh sb="3" eb="4">
      <t>ユキ</t>
    </rPh>
    <phoneticPr fontId="1"/>
  </si>
  <si>
    <r>
      <t>δ</t>
    </r>
    <r>
      <rPr>
        <sz val="6"/>
        <color theme="1"/>
        <rFont val="ＭＳ Ｐゴシック"/>
        <family val="3"/>
        <charset val="128"/>
        <scheme val="minor"/>
      </rPr>
      <t>集短雪1</t>
    </r>
    <r>
      <rPr>
        <sz val="10"/>
        <color theme="1"/>
        <rFont val="ＭＳ Ｐゴシック"/>
        <family val="2"/>
        <charset val="128"/>
        <scheme val="minor"/>
      </rPr>
      <t>＝</t>
    </r>
    <rPh sb="1" eb="2">
      <t>シュウ</t>
    </rPh>
    <rPh sb="2" eb="3">
      <t>タン</t>
    </rPh>
    <rPh sb="3" eb="4">
      <t>ユキ</t>
    </rPh>
    <phoneticPr fontId="1"/>
  </si>
  <si>
    <r>
      <t>δ</t>
    </r>
    <r>
      <rPr>
        <sz val="6"/>
        <color theme="1"/>
        <rFont val="ＭＳ Ｐゴシック"/>
        <family val="3"/>
        <charset val="128"/>
        <scheme val="minor"/>
      </rPr>
      <t>集短雪2</t>
    </r>
    <r>
      <rPr>
        <sz val="10"/>
        <color theme="1"/>
        <rFont val="ＭＳ Ｐゴシック"/>
        <family val="2"/>
        <charset val="128"/>
        <scheme val="minor"/>
      </rPr>
      <t>＝</t>
    </r>
    <rPh sb="1" eb="2">
      <t>シュウ</t>
    </rPh>
    <rPh sb="2" eb="3">
      <t>タン</t>
    </rPh>
    <rPh sb="3" eb="4">
      <t>ユキ</t>
    </rPh>
    <phoneticPr fontId="1"/>
  </si>
  <si>
    <r>
      <rPr>
        <sz val="8"/>
        <color theme="1"/>
        <rFont val="ＭＳ Ｐゴシック"/>
        <family val="3"/>
        <charset val="128"/>
        <scheme val="minor"/>
      </rPr>
      <t>δ = ( 5 x</t>
    </r>
    <r>
      <rPr>
        <sz val="11"/>
        <color theme="1"/>
        <rFont val="ＭＳ Ｐゴシック"/>
        <family val="2"/>
        <charset val="128"/>
        <scheme val="minor"/>
      </rPr>
      <t xml:space="preserve"> </t>
    </r>
    <phoneticPr fontId="1"/>
  </si>
  <si>
    <t>M　 =（(</t>
    <phoneticPr fontId="1"/>
  </si>
  <si>
    <r>
      <t>M</t>
    </r>
    <r>
      <rPr>
        <sz val="6"/>
        <color theme="1"/>
        <rFont val="ＭＳ Ｐゴシック"/>
        <family val="3"/>
        <charset val="128"/>
        <scheme val="minor"/>
      </rPr>
      <t>集１短雪</t>
    </r>
    <r>
      <rPr>
        <sz val="9"/>
        <color theme="1"/>
        <rFont val="ＭＳ Ｐゴシック"/>
        <family val="3"/>
        <charset val="128"/>
        <scheme val="minor"/>
      </rPr>
      <t>　=</t>
    </r>
    <rPh sb="1" eb="2">
      <t>シュウ</t>
    </rPh>
    <rPh sb="3" eb="4">
      <t>タン</t>
    </rPh>
    <rPh sb="4" eb="5">
      <t>ユキ</t>
    </rPh>
    <phoneticPr fontId="1"/>
  </si>
  <si>
    <r>
      <t xml:space="preserve">( </t>
    </r>
    <r>
      <rPr>
        <sz val="8"/>
        <color theme="1"/>
        <rFont val="ＭＳ Ｐゴシック"/>
        <family val="3"/>
        <charset val="128"/>
        <scheme val="minor"/>
      </rPr>
      <t>M</t>
    </r>
    <r>
      <rPr>
        <sz val="6"/>
        <color theme="1"/>
        <rFont val="ＭＳ Ｐゴシック"/>
        <family val="3"/>
        <charset val="128"/>
        <scheme val="minor"/>
      </rPr>
      <t>集1</t>
    </r>
    <r>
      <rPr>
        <sz val="11"/>
        <color theme="1"/>
        <rFont val="ＭＳ Ｐゴシック"/>
        <family val="2"/>
        <charset val="128"/>
        <scheme val="minor"/>
      </rPr>
      <t xml:space="preserve">  x   </t>
    </r>
    <rPh sb="3" eb="4">
      <t>シュウ</t>
    </rPh>
    <phoneticPr fontId="1"/>
  </si>
  <si>
    <r>
      <t>Q</t>
    </r>
    <r>
      <rPr>
        <sz val="6"/>
        <color theme="1"/>
        <rFont val="ＭＳ Ｐゴシック"/>
        <family val="3"/>
        <charset val="128"/>
        <scheme val="minor"/>
      </rPr>
      <t>長</t>
    </r>
    <r>
      <rPr>
        <sz val="9"/>
        <color theme="1"/>
        <rFont val="ＭＳ Ｐゴシック"/>
        <family val="3"/>
        <charset val="128"/>
        <scheme val="minor"/>
      </rPr>
      <t>　=</t>
    </r>
    <rPh sb="1" eb="2">
      <t>チョウ</t>
    </rPh>
    <phoneticPr fontId="1"/>
  </si>
  <si>
    <r>
      <t>Q</t>
    </r>
    <r>
      <rPr>
        <sz val="6"/>
        <color theme="1"/>
        <rFont val="ＭＳ Ｐゴシック"/>
        <family val="3"/>
        <charset val="128"/>
        <scheme val="minor"/>
      </rPr>
      <t>長雪</t>
    </r>
    <r>
      <rPr>
        <sz val="9"/>
        <color theme="1"/>
        <rFont val="ＭＳ Ｐゴシック"/>
        <family val="3"/>
        <charset val="128"/>
        <scheme val="minor"/>
      </rPr>
      <t>　=</t>
    </r>
    <rPh sb="1" eb="2">
      <t>チョウ</t>
    </rPh>
    <rPh sb="2" eb="3">
      <t>ユキ</t>
    </rPh>
    <phoneticPr fontId="1"/>
  </si>
  <si>
    <r>
      <t>Q</t>
    </r>
    <r>
      <rPr>
        <sz val="6"/>
        <color theme="1"/>
        <rFont val="ＭＳ Ｐゴシック"/>
        <family val="3"/>
        <charset val="128"/>
        <scheme val="minor"/>
      </rPr>
      <t>短雪</t>
    </r>
    <r>
      <rPr>
        <sz val="9"/>
        <color theme="1"/>
        <rFont val="ＭＳ Ｐゴシック"/>
        <family val="3"/>
        <charset val="128"/>
        <scheme val="minor"/>
      </rPr>
      <t>　=</t>
    </r>
    <rPh sb="1" eb="2">
      <t>タン</t>
    </rPh>
    <rPh sb="2" eb="3">
      <t>ユキ</t>
    </rPh>
    <phoneticPr fontId="1"/>
  </si>
  <si>
    <r>
      <t>τ</t>
    </r>
    <r>
      <rPr>
        <sz val="6"/>
        <color theme="1"/>
        <rFont val="ＭＳ Ｐゴシック"/>
        <family val="3"/>
        <charset val="128"/>
        <scheme val="minor"/>
      </rPr>
      <t>長雪</t>
    </r>
    <r>
      <rPr>
        <sz val="9"/>
        <color theme="1"/>
        <rFont val="ＭＳ Ｐゴシック"/>
        <family val="3"/>
        <charset val="128"/>
        <scheme val="minor"/>
      </rPr>
      <t>　=</t>
    </r>
    <rPh sb="1" eb="2">
      <t>ナガ</t>
    </rPh>
    <rPh sb="2" eb="3">
      <t>ユキ</t>
    </rPh>
    <phoneticPr fontId="1"/>
  </si>
  <si>
    <r>
      <t>τ</t>
    </r>
    <r>
      <rPr>
        <sz val="6"/>
        <color theme="1"/>
        <rFont val="ＭＳ Ｐゴシック"/>
        <family val="3"/>
        <charset val="128"/>
        <scheme val="minor"/>
      </rPr>
      <t>長</t>
    </r>
    <r>
      <rPr>
        <sz val="9"/>
        <color theme="1"/>
        <rFont val="ＭＳ Ｐゴシック"/>
        <family val="3"/>
        <charset val="128"/>
        <scheme val="minor"/>
      </rPr>
      <t>　=</t>
    </r>
    <rPh sb="1" eb="2">
      <t>ナガ</t>
    </rPh>
    <phoneticPr fontId="1"/>
  </si>
  <si>
    <r>
      <t>τ</t>
    </r>
    <r>
      <rPr>
        <sz val="6"/>
        <color theme="1"/>
        <rFont val="ＭＳ Ｐゴシック"/>
        <family val="3"/>
        <charset val="128"/>
        <scheme val="minor"/>
      </rPr>
      <t>長雪</t>
    </r>
    <r>
      <rPr>
        <sz val="9"/>
        <color theme="1"/>
        <rFont val="ＭＳ Ｐゴシック"/>
        <family val="3"/>
        <charset val="128"/>
        <scheme val="minor"/>
      </rPr>
      <t>　　=</t>
    </r>
    <rPh sb="1" eb="2">
      <t>ナガ</t>
    </rPh>
    <rPh sb="2" eb="3">
      <t>ユキ</t>
    </rPh>
    <phoneticPr fontId="1"/>
  </si>
  <si>
    <r>
      <t>τ</t>
    </r>
    <r>
      <rPr>
        <sz val="6"/>
        <color theme="1"/>
        <rFont val="ＭＳ Ｐゴシック"/>
        <family val="3"/>
        <charset val="128"/>
        <scheme val="minor"/>
      </rPr>
      <t>短雪</t>
    </r>
    <r>
      <rPr>
        <sz val="9"/>
        <color theme="1"/>
        <rFont val="ＭＳ Ｐゴシック"/>
        <family val="3"/>
        <charset val="128"/>
        <scheme val="minor"/>
      </rPr>
      <t>　=</t>
    </r>
    <rPh sb="1" eb="2">
      <t>ミジカイ</t>
    </rPh>
    <rPh sb="2" eb="3">
      <t>ユキ</t>
    </rPh>
    <phoneticPr fontId="1"/>
  </si>
  <si>
    <r>
      <t>τ</t>
    </r>
    <r>
      <rPr>
        <sz val="6"/>
        <color theme="1"/>
        <rFont val="ＭＳ Ｐゴシック"/>
        <family val="3"/>
        <charset val="128"/>
        <scheme val="minor"/>
      </rPr>
      <t>長</t>
    </r>
    <r>
      <rPr>
        <sz val="9"/>
        <color theme="1"/>
        <rFont val="ＭＳ Ｐゴシック"/>
        <family val="3"/>
        <charset val="128"/>
        <scheme val="minor"/>
      </rPr>
      <t>　　=</t>
    </r>
    <rPh sb="1" eb="2">
      <t>ナガ</t>
    </rPh>
    <phoneticPr fontId="1"/>
  </si>
  <si>
    <r>
      <rPr>
        <sz val="9"/>
        <color theme="1"/>
        <rFont val="ＭＳ Ｐゴシック"/>
        <family val="3"/>
        <charset val="128"/>
        <scheme val="minor"/>
      </rPr>
      <t>δ</t>
    </r>
    <r>
      <rPr>
        <sz val="6"/>
        <color theme="1"/>
        <rFont val="ＭＳ Ｐゴシック"/>
        <family val="3"/>
        <charset val="128"/>
        <scheme val="minor"/>
      </rPr>
      <t>集長</t>
    </r>
    <r>
      <rPr>
        <sz val="9"/>
        <color theme="1"/>
        <rFont val="ＭＳ Ｐゴシック"/>
        <family val="3"/>
        <charset val="128"/>
        <scheme val="minor"/>
      </rPr>
      <t>＝</t>
    </r>
    <rPh sb="1" eb="2">
      <t>シュウ</t>
    </rPh>
    <rPh sb="2" eb="3">
      <t>チョウ</t>
    </rPh>
    <phoneticPr fontId="1"/>
  </si>
  <si>
    <r>
      <rPr>
        <sz val="8"/>
        <color theme="1"/>
        <rFont val="ＭＳ Ｐゴシック"/>
        <family val="3"/>
        <charset val="128"/>
        <scheme val="minor"/>
      </rPr>
      <t>δ</t>
    </r>
    <r>
      <rPr>
        <sz val="6"/>
        <color theme="1"/>
        <rFont val="ＭＳ Ｐゴシック"/>
        <family val="3"/>
        <charset val="128"/>
        <scheme val="minor"/>
      </rPr>
      <t>集長雪</t>
    </r>
    <r>
      <rPr>
        <sz val="8"/>
        <color theme="1"/>
        <rFont val="ＭＳ Ｐゴシック"/>
        <family val="3"/>
        <charset val="128"/>
        <scheme val="minor"/>
      </rPr>
      <t>　＝</t>
    </r>
    <rPh sb="1" eb="2">
      <t>シュウ</t>
    </rPh>
    <rPh sb="2" eb="3">
      <t>チョウ</t>
    </rPh>
    <rPh sb="3" eb="4">
      <t>ユキ</t>
    </rPh>
    <phoneticPr fontId="1"/>
  </si>
  <si>
    <r>
      <rPr>
        <sz val="9"/>
        <color theme="1"/>
        <rFont val="ＭＳ Ｐゴシック"/>
        <family val="3"/>
        <charset val="128"/>
        <scheme val="minor"/>
      </rPr>
      <t>δ</t>
    </r>
    <r>
      <rPr>
        <sz val="6"/>
        <color theme="1"/>
        <rFont val="ＭＳ Ｐゴシック"/>
        <family val="3"/>
        <charset val="128"/>
        <scheme val="minor"/>
      </rPr>
      <t>集短雪</t>
    </r>
    <r>
      <rPr>
        <sz val="8"/>
        <color theme="1"/>
        <rFont val="ＭＳ Ｐゴシック"/>
        <family val="3"/>
        <charset val="128"/>
        <scheme val="minor"/>
      </rPr>
      <t>　＝</t>
    </r>
    <rPh sb="1" eb="2">
      <t>シュウ</t>
    </rPh>
    <rPh sb="2" eb="3">
      <t>タン</t>
    </rPh>
    <rPh sb="3" eb="4">
      <t>ユキ</t>
    </rPh>
    <phoneticPr fontId="1"/>
  </si>
  <si>
    <r>
      <rPr>
        <sz val="8"/>
        <color theme="1"/>
        <rFont val="ＭＳ Ｐゴシック"/>
        <family val="3"/>
        <charset val="128"/>
        <scheme val="minor"/>
      </rPr>
      <t>δ</t>
    </r>
    <r>
      <rPr>
        <sz val="6"/>
        <color theme="1"/>
        <rFont val="ＭＳ Ｐゴシック"/>
        <family val="3"/>
        <charset val="128"/>
        <scheme val="minor"/>
      </rPr>
      <t>集短雪</t>
    </r>
    <r>
      <rPr>
        <sz val="8"/>
        <color theme="1"/>
        <rFont val="ＭＳ Ｐゴシック"/>
        <family val="3"/>
        <charset val="128"/>
        <scheme val="minor"/>
      </rPr>
      <t>　＝</t>
    </r>
    <rPh sb="1" eb="2">
      <t>シュウ</t>
    </rPh>
    <rPh sb="2" eb="3">
      <t>タン</t>
    </rPh>
    <rPh sb="3" eb="4">
      <t>ユキ</t>
    </rPh>
    <phoneticPr fontId="1"/>
  </si>
  <si>
    <r>
      <rPr>
        <sz val="8"/>
        <color theme="1"/>
        <rFont val="ＭＳ Ｐゴシック"/>
        <family val="3"/>
        <charset val="128"/>
        <scheme val="minor"/>
      </rPr>
      <t>δ</t>
    </r>
    <r>
      <rPr>
        <sz val="6"/>
        <color theme="1"/>
        <rFont val="ＭＳ Ｐゴシック"/>
        <family val="3"/>
        <charset val="128"/>
        <scheme val="minor"/>
      </rPr>
      <t>集長１</t>
    </r>
    <r>
      <rPr>
        <sz val="8"/>
        <color theme="1"/>
        <rFont val="ＭＳ Ｐゴシック"/>
        <family val="3"/>
        <charset val="128"/>
        <scheme val="minor"/>
      </rPr>
      <t>　＝</t>
    </r>
    <rPh sb="1" eb="2">
      <t>シュウ</t>
    </rPh>
    <rPh sb="2" eb="3">
      <t>チョウ</t>
    </rPh>
    <phoneticPr fontId="1"/>
  </si>
  <si>
    <r>
      <rPr>
        <sz val="8"/>
        <color theme="1"/>
        <rFont val="ＭＳ Ｐゴシック"/>
        <family val="3"/>
        <charset val="128"/>
        <scheme val="minor"/>
      </rPr>
      <t>δ</t>
    </r>
    <r>
      <rPr>
        <sz val="6"/>
        <color theme="1"/>
        <rFont val="ＭＳ Ｐゴシック"/>
        <family val="3"/>
        <charset val="128"/>
        <scheme val="minor"/>
      </rPr>
      <t>集長２</t>
    </r>
    <r>
      <rPr>
        <sz val="8"/>
        <color theme="1"/>
        <rFont val="ＭＳ Ｐゴシック"/>
        <family val="3"/>
        <charset val="128"/>
        <scheme val="minor"/>
      </rPr>
      <t>　＝</t>
    </r>
    <rPh sb="1" eb="2">
      <t>シュウ</t>
    </rPh>
    <rPh sb="2" eb="3">
      <t>チョウ</t>
    </rPh>
    <phoneticPr fontId="1"/>
  </si>
  <si>
    <r>
      <rPr>
        <sz val="8"/>
        <color theme="1"/>
        <rFont val="ＭＳ Ｐゴシック"/>
        <family val="3"/>
        <charset val="128"/>
        <scheme val="minor"/>
      </rPr>
      <t>δ</t>
    </r>
    <r>
      <rPr>
        <sz val="6"/>
        <color theme="1"/>
        <rFont val="ＭＳ Ｐゴシック"/>
        <family val="3"/>
        <charset val="128"/>
        <scheme val="minor"/>
      </rPr>
      <t>集長雪1</t>
    </r>
    <r>
      <rPr>
        <sz val="8"/>
        <color theme="1"/>
        <rFont val="ＭＳ Ｐゴシック"/>
        <family val="3"/>
        <charset val="128"/>
        <scheme val="minor"/>
      </rPr>
      <t>　＝</t>
    </r>
    <rPh sb="1" eb="2">
      <t>シュウ</t>
    </rPh>
    <rPh sb="2" eb="3">
      <t>チョウ</t>
    </rPh>
    <rPh sb="3" eb="4">
      <t>ユキ</t>
    </rPh>
    <phoneticPr fontId="1"/>
  </si>
  <si>
    <r>
      <t>δ</t>
    </r>
    <r>
      <rPr>
        <sz val="6"/>
        <color theme="1"/>
        <rFont val="ＭＳ Ｐゴシック"/>
        <family val="3"/>
        <charset val="128"/>
        <scheme val="minor"/>
      </rPr>
      <t>集長雪2</t>
    </r>
    <r>
      <rPr>
        <sz val="8"/>
        <color theme="1"/>
        <rFont val="ＭＳ Ｐゴシック"/>
        <family val="3"/>
        <charset val="128"/>
        <scheme val="minor"/>
      </rPr>
      <t>　＝</t>
    </r>
    <rPh sb="1" eb="2">
      <t>シュウ</t>
    </rPh>
    <rPh sb="2" eb="3">
      <t>チョウ</t>
    </rPh>
    <rPh sb="3" eb="4">
      <t>ユキ</t>
    </rPh>
    <phoneticPr fontId="1"/>
  </si>
  <si>
    <r>
      <t>δ</t>
    </r>
    <r>
      <rPr>
        <sz val="6"/>
        <color theme="1"/>
        <rFont val="ＭＳ Ｐゴシック"/>
        <family val="3"/>
        <charset val="128"/>
        <scheme val="minor"/>
      </rPr>
      <t>集短雪1</t>
    </r>
    <r>
      <rPr>
        <sz val="8"/>
        <color theme="1"/>
        <rFont val="ＭＳ Ｐゴシック"/>
        <family val="3"/>
        <charset val="128"/>
        <scheme val="minor"/>
      </rPr>
      <t>　＝</t>
    </r>
    <rPh sb="1" eb="2">
      <t>シュウ</t>
    </rPh>
    <rPh sb="2" eb="3">
      <t>タン</t>
    </rPh>
    <rPh sb="3" eb="4">
      <t>ユキ</t>
    </rPh>
    <phoneticPr fontId="1"/>
  </si>
  <si>
    <r>
      <t>δ</t>
    </r>
    <r>
      <rPr>
        <sz val="6"/>
        <color theme="1"/>
        <rFont val="ＭＳ Ｐゴシック"/>
        <family val="3"/>
        <charset val="128"/>
        <scheme val="minor"/>
      </rPr>
      <t>集短雪2</t>
    </r>
    <r>
      <rPr>
        <sz val="8"/>
        <color theme="1"/>
        <rFont val="ＭＳ Ｐゴシック"/>
        <family val="3"/>
        <charset val="128"/>
        <scheme val="minor"/>
      </rPr>
      <t>　＝</t>
    </r>
    <rPh sb="1" eb="2">
      <t>シュウ</t>
    </rPh>
    <rPh sb="2" eb="3">
      <t>タン</t>
    </rPh>
    <rPh sb="3" eb="4">
      <t>ユキ</t>
    </rPh>
    <phoneticPr fontId="1"/>
  </si>
  <si>
    <r>
      <t>δ</t>
    </r>
    <r>
      <rPr>
        <sz val="6"/>
        <color theme="1"/>
        <rFont val="ＭＳ Ｐゴシック"/>
        <family val="3"/>
        <charset val="128"/>
        <scheme val="minor"/>
      </rPr>
      <t>集長雪</t>
    </r>
    <r>
      <rPr>
        <sz val="8"/>
        <color theme="1"/>
        <rFont val="ＭＳ Ｐゴシック"/>
        <family val="3"/>
        <charset val="128"/>
        <scheme val="minor"/>
      </rPr>
      <t>　＝</t>
    </r>
    <rPh sb="1" eb="2">
      <t>シュウ</t>
    </rPh>
    <rPh sb="2" eb="3">
      <t>チョウ</t>
    </rPh>
    <rPh sb="3" eb="4">
      <t>ユキ</t>
    </rPh>
    <phoneticPr fontId="1"/>
  </si>
  <si>
    <r>
      <t>δ</t>
    </r>
    <r>
      <rPr>
        <sz val="6"/>
        <color theme="1"/>
        <rFont val="ＭＳ Ｐゴシック"/>
        <family val="3"/>
        <charset val="128"/>
        <scheme val="minor"/>
      </rPr>
      <t>集短雪</t>
    </r>
    <r>
      <rPr>
        <sz val="8"/>
        <color theme="1"/>
        <rFont val="ＭＳ Ｐゴシック"/>
        <family val="3"/>
        <charset val="128"/>
        <scheme val="minor"/>
      </rPr>
      <t>　＝</t>
    </r>
    <rPh sb="1" eb="2">
      <t>シュウ</t>
    </rPh>
    <rPh sb="2" eb="3">
      <t>タン</t>
    </rPh>
    <rPh sb="3" eb="4">
      <t>ユキ</t>
    </rPh>
    <phoneticPr fontId="1"/>
  </si>
  <si>
    <r>
      <t>M</t>
    </r>
    <r>
      <rPr>
        <sz val="6"/>
        <color theme="1"/>
        <rFont val="ＭＳ Ｐゴシック"/>
        <family val="3"/>
        <charset val="128"/>
        <scheme val="minor"/>
      </rPr>
      <t>全　　</t>
    </r>
    <r>
      <rPr>
        <sz val="8"/>
        <color theme="1"/>
        <rFont val="ＭＳ Ｐゴシック"/>
        <family val="3"/>
        <charset val="128"/>
        <scheme val="minor"/>
      </rPr>
      <t xml:space="preserve"> =（(</t>
    </r>
    <rPh sb="1" eb="2">
      <t>ゼン</t>
    </rPh>
    <phoneticPr fontId="1"/>
  </si>
  <si>
    <t>M  =（(</t>
    <phoneticPr fontId="1"/>
  </si>
  <si>
    <r>
      <t>σ</t>
    </r>
    <r>
      <rPr>
        <sz val="6"/>
        <color theme="1"/>
        <rFont val="ＭＳ Ｐゴシック"/>
        <family val="3"/>
        <charset val="128"/>
        <scheme val="minor"/>
      </rPr>
      <t>ｂ長</t>
    </r>
    <r>
      <rPr>
        <sz val="8"/>
        <color theme="1"/>
        <rFont val="ＭＳ Ｐゴシック"/>
        <family val="3"/>
        <charset val="128"/>
        <scheme val="minor"/>
      </rPr>
      <t>　=</t>
    </r>
    <rPh sb="2" eb="3">
      <t>チョウ</t>
    </rPh>
    <phoneticPr fontId="1"/>
  </si>
  <si>
    <r>
      <t>Q</t>
    </r>
    <r>
      <rPr>
        <sz val="6"/>
        <color theme="1"/>
        <rFont val="ＭＳ Ｐゴシック"/>
        <family val="3"/>
        <charset val="128"/>
        <scheme val="minor"/>
      </rPr>
      <t>長</t>
    </r>
    <r>
      <rPr>
        <sz val="8"/>
        <color theme="1"/>
        <rFont val="ＭＳ Ｐゴシック"/>
        <family val="3"/>
        <charset val="128"/>
        <scheme val="minor"/>
      </rPr>
      <t>　　=</t>
    </r>
    <rPh sb="1" eb="2">
      <t>チョウ</t>
    </rPh>
    <phoneticPr fontId="1"/>
  </si>
  <si>
    <r>
      <t>τ</t>
    </r>
    <r>
      <rPr>
        <sz val="6"/>
        <color theme="1"/>
        <rFont val="ＭＳ Ｐゴシック"/>
        <family val="3"/>
        <charset val="128"/>
        <scheme val="minor"/>
      </rPr>
      <t>長</t>
    </r>
    <r>
      <rPr>
        <sz val="8"/>
        <color theme="1"/>
        <rFont val="ＭＳ Ｐゴシック"/>
        <family val="3"/>
        <charset val="128"/>
        <scheme val="minor"/>
      </rPr>
      <t>　　=</t>
    </r>
    <rPh sb="1" eb="2">
      <t>ナガ</t>
    </rPh>
    <phoneticPr fontId="1"/>
  </si>
  <si>
    <t>M</t>
    <phoneticPr fontId="1"/>
  </si>
  <si>
    <r>
      <t>( M</t>
    </r>
    <r>
      <rPr>
        <sz val="6"/>
        <color theme="1"/>
        <rFont val="ＭＳ Ｐゴシック"/>
        <family val="3"/>
        <charset val="128"/>
        <scheme val="minor"/>
      </rPr>
      <t>集2</t>
    </r>
    <r>
      <rPr>
        <sz val="9"/>
        <color theme="1"/>
        <rFont val="ＭＳ Ｐゴシック"/>
        <family val="3"/>
        <charset val="128"/>
        <scheme val="minor"/>
      </rPr>
      <t xml:space="preserve">  x   </t>
    </r>
    <rPh sb="3" eb="4">
      <t>シュウ</t>
    </rPh>
    <phoneticPr fontId="1"/>
  </si>
  <si>
    <r>
      <t>( M</t>
    </r>
    <r>
      <rPr>
        <sz val="6"/>
        <color theme="1"/>
        <rFont val="ＭＳ Ｐゴシック"/>
        <family val="3"/>
        <charset val="128"/>
        <scheme val="minor"/>
      </rPr>
      <t>集1</t>
    </r>
    <r>
      <rPr>
        <sz val="9"/>
        <color theme="1"/>
        <rFont val="ＭＳ Ｐゴシック"/>
        <family val="2"/>
        <charset val="128"/>
        <scheme val="minor"/>
      </rPr>
      <t xml:space="preserve">  x   </t>
    </r>
    <rPh sb="3" eb="4">
      <t>シュウ</t>
    </rPh>
    <phoneticPr fontId="1"/>
  </si>
  <si>
    <r>
      <t>Q</t>
    </r>
    <r>
      <rPr>
        <sz val="9"/>
        <color theme="1"/>
        <rFont val="ＭＳ Ｐゴシック"/>
        <family val="3"/>
        <charset val="128"/>
        <scheme val="minor"/>
      </rPr>
      <t>　=</t>
    </r>
    <phoneticPr fontId="1"/>
  </si>
  <si>
    <r>
      <t>τ</t>
    </r>
    <r>
      <rPr>
        <sz val="6"/>
        <color theme="1"/>
        <rFont val="ＭＳ Ｐゴシック"/>
        <family val="3"/>
        <charset val="128"/>
        <scheme val="minor"/>
      </rPr>
      <t>長</t>
    </r>
    <r>
      <rPr>
        <sz val="8"/>
        <color theme="1"/>
        <rFont val="ＭＳ Ｐゴシック"/>
        <family val="3"/>
        <charset val="128"/>
        <scheme val="minor"/>
      </rPr>
      <t>= 1.5x</t>
    </r>
    <rPh sb="1" eb="2">
      <t>ナガ</t>
    </rPh>
    <phoneticPr fontId="1"/>
  </si>
  <si>
    <r>
      <t>δ</t>
    </r>
    <r>
      <rPr>
        <sz val="6"/>
        <color theme="1"/>
        <rFont val="ＭＳ Ｐゴシック"/>
        <family val="3"/>
        <charset val="128"/>
        <scheme val="minor"/>
      </rPr>
      <t>集長１</t>
    </r>
    <r>
      <rPr>
        <sz val="8"/>
        <color theme="1"/>
        <rFont val="ＭＳ Ｐゴシック"/>
        <family val="3"/>
        <charset val="128"/>
        <scheme val="minor"/>
      </rPr>
      <t>　＝</t>
    </r>
    <rPh sb="1" eb="2">
      <t>シュウ</t>
    </rPh>
    <rPh sb="2" eb="3">
      <t>チョウ</t>
    </rPh>
    <phoneticPr fontId="1"/>
  </si>
  <si>
    <r>
      <t>δ</t>
    </r>
    <r>
      <rPr>
        <sz val="6"/>
        <color theme="1"/>
        <rFont val="ＭＳ Ｐゴシック"/>
        <family val="3"/>
        <charset val="128"/>
        <scheme val="minor"/>
      </rPr>
      <t>集長２</t>
    </r>
    <r>
      <rPr>
        <sz val="8"/>
        <color theme="1"/>
        <rFont val="ＭＳ Ｐゴシック"/>
        <family val="3"/>
        <charset val="128"/>
        <scheme val="minor"/>
      </rPr>
      <t>　＝</t>
    </r>
    <rPh sb="1" eb="2">
      <t>シュウ</t>
    </rPh>
    <rPh sb="2" eb="3">
      <t>チョウ</t>
    </rPh>
    <phoneticPr fontId="1"/>
  </si>
  <si>
    <r>
      <t>M</t>
    </r>
    <r>
      <rPr>
        <sz val="6"/>
        <color theme="1"/>
        <rFont val="ＭＳ Ｐゴシック"/>
        <family val="3"/>
        <charset val="128"/>
        <scheme val="minor"/>
      </rPr>
      <t>部分</t>
    </r>
    <r>
      <rPr>
        <sz val="8"/>
        <color theme="1"/>
        <rFont val="ＭＳ Ｐゴシック"/>
        <family val="3"/>
        <charset val="128"/>
        <scheme val="minor"/>
      </rPr>
      <t>　 =</t>
    </r>
    <rPh sb="1" eb="3">
      <t>ブブン</t>
    </rPh>
    <phoneticPr fontId="1"/>
  </si>
  <si>
    <r>
      <t>( M</t>
    </r>
    <r>
      <rPr>
        <sz val="6"/>
        <color theme="1"/>
        <rFont val="ＭＳ Ｐゴシック"/>
        <family val="3"/>
        <charset val="128"/>
        <scheme val="minor"/>
      </rPr>
      <t>集2</t>
    </r>
    <r>
      <rPr>
        <sz val="9"/>
        <color theme="1"/>
        <rFont val="ＭＳ Ｐゴシック"/>
        <family val="2"/>
        <charset val="128"/>
        <scheme val="minor"/>
      </rPr>
      <t xml:space="preserve">  x   </t>
    </r>
    <rPh sb="3" eb="4">
      <t>シュウ</t>
    </rPh>
    <phoneticPr fontId="1"/>
  </si>
  <si>
    <r>
      <rPr>
        <sz val="9"/>
        <color theme="1"/>
        <rFont val="ＭＳ Ｐゴシック"/>
        <family val="3"/>
        <charset val="128"/>
        <scheme val="minor"/>
      </rPr>
      <t>M</t>
    </r>
    <r>
      <rPr>
        <sz val="6"/>
        <color theme="1"/>
        <rFont val="ＭＳ Ｐゴシック"/>
        <family val="3"/>
        <charset val="128"/>
        <scheme val="minor"/>
      </rPr>
      <t>集2</t>
    </r>
    <r>
      <rPr>
        <sz val="9"/>
        <color theme="1"/>
        <rFont val="ＭＳ Ｐゴシック"/>
        <family val="3"/>
        <charset val="128"/>
        <scheme val="minor"/>
      </rPr>
      <t xml:space="preserve"> +</t>
    </r>
    <rPh sb="1" eb="2">
      <t>シュウ</t>
    </rPh>
    <phoneticPr fontId="1"/>
  </si>
  <si>
    <r>
      <t>( M</t>
    </r>
    <r>
      <rPr>
        <sz val="6"/>
        <color theme="1"/>
        <rFont val="ＭＳ Ｐゴシック"/>
        <family val="3"/>
        <charset val="128"/>
        <scheme val="minor"/>
      </rPr>
      <t xml:space="preserve">集1 </t>
    </r>
    <r>
      <rPr>
        <sz val="9"/>
        <color theme="1"/>
        <rFont val="ＭＳ Ｐゴシック"/>
        <family val="2"/>
        <charset val="128"/>
        <scheme val="minor"/>
      </rPr>
      <t xml:space="preserve"> x   </t>
    </r>
    <rPh sb="3" eb="4">
      <t>シュウ</t>
    </rPh>
    <phoneticPr fontId="1"/>
  </si>
  <si>
    <r>
      <rPr>
        <sz val="9"/>
        <color theme="1"/>
        <rFont val="ＭＳ Ｐゴシック"/>
        <family val="3"/>
        <charset val="128"/>
        <scheme val="minor"/>
      </rPr>
      <t>( M</t>
    </r>
    <r>
      <rPr>
        <sz val="6"/>
        <color theme="1"/>
        <rFont val="ＭＳ Ｐゴシック"/>
        <family val="3"/>
        <charset val="128"/>
        <scheme val="minor"/>
      </rPr>
      <t>集1</t>
    </r>
    <r>
      <rPr>
        <sz val="9"/>
        <color theme="1"/>
        <rFont val="ＭＳ Ｐゴシック"/>
        <family val="3"/>
        <charset val="128"/>
        <scheme val="minor"/>
      </rPr>
      <t xml:space="preserve">  x   </t>
    </r>
    <rPh sb="3" eb="4">
      <t>シュウ</t>
    </rPh>
    <phoneticPr fontId="1"/>
  </si>
  <si>
    <r>
      <t>(</t>
    </r>
    <r>
      <rPr>
        <sz val="9"/>
        <color theme="1"/>
        <rFont val="ＭＳ Ｐゴシック"/>
        <family val="3"/>
        <charset val="128"/>
        <scheme val="minor"/>
      </rPr>
      <t xml:space="preserve"> M</t>
    </r>
    <r>
      <rPr>
        <sz val="6"/>
        <color theme="1"/>
        <rFont val="ＭＳ Ｐゴシック"/>
        <family val="3"/>
        <charset val="128"/>
        <scheme val="minor"/>
      </rPr>
      <t>集2</t>
    </r>
    <r>
      <rPr>
        <sz val="9"/>
        <color theme="1"/>
        <rFont val="ＭＳ Ｐゴシック"/>
        <family val="3"/>
        <charset val="128"/>
        <scheme val="minor"/>
      </rPr>
      <t xml:space="preserve">  x   </t>
    </r>
    <rPh sb="3" eb="4">
      <t>シュウ</t>
    </rPh>
    <phoneticPr fontId="1"/>
  </si>
  <si>
    <r>
      <t>Q</t>
    </r>
    <r>
      <rPr>
        <sz val="6"/>
        <color theme="1"/>
        <rFont val="ＭＳ Ｐゴシック"/>
        <family val="3"/>
        <charset val="128"/>
        <scheme val="minor"/>
      </rPr>
      <t>全体</t>
    </r>
    <r>
      <rPr>
        <sz val="8"/>
        <color theme="1"/>
        <rFont val="ＭＳ Ｐゴシック"/>
        <family val="3"/>
        <charset val="128"/>
        <scheme val="minor"/>
      </rPr>
      <t>　=</t>
    </r>
    <rPh sb="1" eb="3">
      <t>ゼンタイ</t>
    </rPh>
    <phoneticPr fontId="1"/>
  </si>
  <si>
    <r>
      <t>Q</t>
    </r>
    <r>
      <rPr>
        <sz val="6"/>
        <color theme="1"/>
        <rFont val="ＭＳ Ｐゴシック"/>
        <family val="3"/>
        <charset val="128"/>
        <scheme val="minor"/>
      </rPr>
      <t>部分1</t>
    </r>
    <r>
      <rPr>
        <sz val="8"/>
        <color theme="1"/>
        <rFont val="ＭＳ Ｐゴシック"/>
        <family val="3"/>
        <charset val="128"/>
        <scheme val="minor"/>
      </rPr>
      <t>　=</t>
    </r>
    <rPh sb="1" eb="3">
      <t>ブブン</t>
    </rPh>
    <phoneticPr fontId="1"/>
  </si>
  <si>
    <r>
      <t>Q</t>
    </r>
    <r>
      <rPr>
        <sz val="6"/>
        <color theme="1"/>
        <rFont val="ＭＳ Ｐゴシック"/>
        <family val="3"/>
        <charset val="128"/>
        <scheme val="minor"/>
      </rPr>
      <t>部分2</t>
    </r>
    <r>
      <rPr>
        <sz val="8"/>
        <color theme="1"/>
        <rFont val="ＭＳ Ｐゴシック"/>
        <family val="3"/>
        <charset val="128"/>
        <scheme val="minor"/>
      </rPr>
      <t>　=</t>
    </r>
    <rPh sb="1" eb="3">
      <t>ブブン</t>
    </rPh>
    <phoneticPr fontId="1"/>
  </si>
  <si>
    <t xml:space="preserve"> </t>
    <phoneticPr fontId="1"/>
  </si>
  <si>
    <t>δ1＝</t>
    <phoneticPr fontId="1"/>
  </si>
  <si>
    <t>δ2＝</t>
    <phoneticPr fontId="1"/>
  </si>
  <si>
    <r>
      <t>δ</t>
    </r>
    <r>
      <rPr>
        <sz val="6"/>
        <color theme="1"/>
        <rFont val="ＭＳ Ｐゴシック"/>
        <family val="3"/>
        <charset val="128"/>
        <scheme val="minor"/>
      </rPr>
      <t>集長雪１</t>
    </r>
    <r>
      <rPr>
        <sz val="8"/>
        <color theme="1"/>
        <rFont val="ＭＳ Ｐゴシック"/>
        <family val="3"/>
        <charset val="128"/>
        <scheme val="minor"/>
      </rPr>
      <t>　＝</t>
    </r>
    <rPh sb="1" eb="2">
      <t>シュウ</t>
    </rPh>
    <rPh sb="2" eb="3">
      <t>チョウ</t>
    </rPh>
    <rPh sb="3" eb="4">
      <t>ユキ</t>
    </rPh>
    <phoneticPr fontId="1"/>
  </si>
  <si>
    <t>)  x1.00E+09 x 2  =</t>
    <phoneticPr fontId="1"/>
  </si>
  <si>
    <r>
      <t>δ</t>
    </r>
    <r>
      <rPr>
        <sz val="6"/>
        <color theme="1"/>
        <rFont val="ＭＳ Ｐゴシック"/>
        <family val="3"/>
        <charset val="128"/>
        <scheme val="minor"/>
      </rPr>
      <t>集短雪１</t>
    </r>
    <r>
      <rPr>
        <sz val="8"/>
        <color theme="1"/>
        <rFont val="ＭＳ Ｐゴシック"/>
        <family val="3"/>
        <charset val="128"/>
        <scheme val="minor"/>
      </rPr>
      <t>　＝</t>
    </r>
    <rPh sb="1" eb="2">
      <t>シュウ</t>
    </rPh>
    <rPh sb="2" eb="3">
      <t>タン</t>
    </rPh>
    <rPh sb="3" eb="4">
      <t>ユキ</t>
    </rPh>
    <phoneticPr fontId="1"/>
  </si>
  <si>
    <r>
      <t>δ</t>
    </r>
    <r>
      <rPr>
        <sz val="6"/>
        <color theme="1"/>
        <rFont val="ＭＳ Ｐゴシック"/>
        <family val="3"/>
        <charset val="128"/>
        <scheme val="minor"/>
      </rPr>
      <t>集短雪２</t>
    </r>
    <r>
      <rPr>
        <sz val="8"/>
        <color theme="1"/>
        <rFont val="ＭＳ Ｐゴシック"/>
        <family val="3"/>
        <charset val="128"/>
        <scheme val="minor"/>
      </rPr>
      <t>　＝</t>
    </r>
    <rPh sb="1" eb="2">
      <t>シュウ</t>
    </rPh>
    <rPh sb="2" eb="3">
      <t>タン</t>
    </rPh>
    <rPh sb="3" eb="4">
      <t>ユキ</t>
    </rPh>
    <phoneticPr fontId="1"/>
  </si>
  <si>
    <r>
      <t>M</t>
    </r>
    <r>
      <rPr>
        <sz val="6"/>
        <color theme="1"/>
        <rFont val="ＭＳ Ｐゴシック"/>
        <family val="3"/>
        <charset val="128"/>
        <scheme val="minor"/>
      </rPr>
      <t>全</t>
    </r>
    <r>
      <rPr>
        <sz val="8"/>
        <color theme="1"/>
        <rFont val="ＭＳ Ｐゴシック"/>
        <family val="3"/>
        <charset val="128"/>
        <scheme val="minor"/>
      </rPr>
      <t>　 =（(</t>
    </r>
    <rPh sb="1" eb="2">
      <t>ゼン</t>
    </rPh>
    <phoneticPr fontId="1"/>
  </si>
  <si>
    <r>
      <t>M</t>
    </r>
    <r>
      <rPr>
        <sz val="6"/>
        <color theme="1"/>
        <rFont val="ＭＳ Ｐゴシック"/>
        <family val="3"/>
        <charset val="128"/>
        <scheme val="minor"/>
      </rPr>
      <t>集１yane</t>
    </r>
    <r>
      <rPr>
        <sz val="8"/>
        <color theme="1"/>
        <rFont val="ＭＳ Ｐゴシック"/>
        <family val="3"/>
        <charset val="128"/>
        <scheme val="minor"/>
      </rPr>
      <t>　=</t>
    </r>
    <rPh sb="1" eb="2">
      <t>シュウ</t>
    </rPh>
    <phoneticPr fontId="1"/>
  </si>
  <si>
    <r>
      <t>M</t>
    </r>
    <r>
      <rPr>
        <sz val="6"/>
        <color theme="1"/>
        <rFont val="ＭＳ Ｐゴシック"/>
        <family val="3"/>
        <charset val="128"/>
        <scheme val="minor"/>
      </rPr>
      <t>集１yuka</t>
    </r>
    <r>
      <rPr>
        <sz val="8"/>
        <color theme="1"/>
        <rFont val="ＭＳ Ｐゴシック"/>
        <family val="3"/>
        <charset val="128"/>
        <scheme val="minor"/>
      </rPr>
      <t>　=</t>
    </r>
    <rPh sb="1" eb="2">
      <t>シュウ</t>
    </rPh>
    <phoneticPr fontId="1"/>
  </si>
  <si>
    <r>
      <t>M</t>
    </r>
    <r>
      <rPr>
        <sz val="6"/>
        <color theme="1"/>
        <rFont val="ＭＳ Ｐゴシック"/>
        <family val="3"/>
        <charset val="128"/>
        <scheme val="minor"/>
      </rPr>
      <t>集2yane</t>
    </r>
    <r>
      <rPr>
        <sz val="8"/>
        <color theme="1"/>
        <rFont val="ＭＳ Ｐゴシック"/>
        <family val="3"/>
        <charset val="128"/>
        <scheme val="minor"/>
      </rPr>
      <t>　=</t>
    </r>
    <rPh sb="1" eb="2">
      <t>シュウ</t>
    </rPh>
    <phoneticPr fontId="1"/>
  </si>
  <si>
    <r>
      <t>M</t>
    </r>
    <r>
      <rPr>
        <sz val="6"/>
        <color theme="1"/>
        <rFont val="ＭＳ Ｐゴシック"/>
        <family val="3"/>
        <charset val="128"/>
        <scheme val="minor"/>
      </rPr>
      <t>集2yuka</t>
    </r>
    <r>
      <rPr>
        <sz val="8"/>
        <color theme="1"/>
        <rFont val="ＭＳ Ｐゴシック"/>
        <family val="3"/>
        <charset val="128"/>
        <scheme val="minor"/>
      </rPr>
      <t>　=</t>
    </r>
    <rPh sb="1" eb="2">
      <t>シュウ</t>
    </rPh>
    <phoneticPr fontId="1"/>
  </si>
  <si>
    <r>
      <t>M</t>
    </r>
    <r>
      <rPr>
        <sz val="6"/>
        <color theme="1"/>
        <rFont val="ＭＳ Ｐゴシック"/>
        <family val="3"/>
        <charset val="128"/>
        <scheme val="minor"/>
      </rPr>
      <t>集１計</t>
    </r>
    <r>
      <rPr>
        <sz val="8"/>
        <color theme="1"/>
        <rFont val="ＭＳ Ｐゴシック"/>
        <family val="2"/>
        <charset val="128"/>
        <scheme val="minor"/>
      </rPr>
      <t xml:space="preserve"> +</t>
    </r>
    <rPh sb="1" eb="2">
      <t>シュウ</t>
    </rPh>
    <rPh sb="3" eb="4">
      <t>ケイ</t>
    </rPh>
    <phoneticPr fontId="1"/>
  </si>
  <si>
    <r>
      <rPr>
        <sz val="8"/>
        <color theme="1"/>
        <rFont val="ＭＳ Ｐゴシック"/>
        <family val="3"/>
        <charset val="128"/>
        <scheme val="minor"/>
      </rPr>
      <t>( M</t>
    </r>
    <r>
      <rPr>
        <sz val="6"/>
        <color theme="1"/>
        <rFont val="ＭＳ Ｐゴシック"/>
        <family val="3"/>
        <charset val="128"/>
        <scheme val="minor"/>
      </rPr>
      <t>集2計</t>
    </r>
    <r>
      <rPr>
        <sz val="8"/>
        <color theme="1"/>
        <rFont val="ＭＳ Ｐゴシック"/>
        <family val="3"/>
        <charset val="128"/>
        <scheme val="minor"/>
      </rPr>
      <t xml:space="preserve">  x   </t>
    </r>
    <rPh sb="3" eb="4">
      <t>シュウ</t>
    </rPh>
    <rPh sb="5" eb="6">
      <t>ケイ</t>
    </rPh>
    <phoneticPr fontId="1"/>
  </si>
  <si>
    <r>
      <t>M</t>
    </r>
    <r>
      <rPr>
        <sz val="6"/>
        <color theme="1"/>
        <rFont val="ＭＳ Ｐゴシック"/>
        <family val="3"/>
        <charset val="128"/>
        <scheme val="minor"/>
      </rPr>
      <t>集2計</t>
    </r>
    <r>
      <rPr>
        <sz val="8"/>
        <color theme="1"/>
        <rFont val="ＭＳ Ｐゴシック"/>
        <family val="2"/>
        <charset val="128"/>
        <scheme val="minor"/>
      </rPr>
      <t xml:space="preserve"> +</t>
    </r>
    <rPh sb="1" eb="2">
      <t>シュウ</t>
    </rPh>
    <rPh sb="3" eb="4">
      <t>ケイ</t>
    </rPh>
    <phoneticPr fontId="1"/>
  </si>
  <si>
    <r>
      <t>( M</t>
    </r>
    <r>
      <rPr>
        <sz val="6"/>
        <color theme="1"/>
        <rFont val="ＭＳ Ｐゴシック"/>
        <family val="3"/>
        <charset val="128"/>
        <scheme val="minor"/>
      </rPr>
      <t>集1計</t>
    </r>
    <r>
      <rPr>
        <sz val="8"/>
        <color theme="1"/>
        <rFont val="ＭＳ Ｐゴシック"/>
        <family val="2"/>
        <charset val="128"/>
        <scheme val="minor"/>
      </rPr>
      <t xml:space="preserve">  x   </t>
    </r>
    <rPh sb="3" eb="4">
      <t>シュウ</t>
    </rPh>
    <rPh sb="5" eb="6">
      <t>ケイ</t>
    </rPh>
    <phoneticPr fontId="1"/>
  </si>
  <si>
    <r>
      <t>( M</t>
    </r>
    <r>
      <rPr>
        <sz val="6"/>
        <color theme="1"/>
        <rFont val="ＭＳ Ｐゴシック"/>
        <family val="3"/>
        <charset val="128"/>
        <scheme val="minor"/>
      </rPr>
      <t>集2計</t>
    </r>
    <r>
      <rPr>
        <sz val="9"/>
        <color theme="1"/>
        <rFont val="ＭＳ Ｐゴシック"/>
        <family val="3"/>
        <charset val="128"/>
        <scheme val="minor"/>
      </rPr>
      <t xml:space="preserve">  x   </t>
    </r>
    <rPh sb="3" eb="4">
      <t>シュウ</t>
    </rPh>
    <rPh sb="5" eb="6">
      <t>ケイ</t>
    </rPh>
    <phoneticPr fontId="1"/>
  </si>
  <si>
    <r>
      <t>( M</t>
    </r>
    <r>
      <rPr>
        <sz val="6"/>
        <color theme="1"/>
        <rFont val="ＭＳ Ｐゴシック"/>
        <family val="3"/>
        <charset val="128"/>
        <scheme val="minor"/>
      </rPr>
      <t>集1計</t>
    </r>
    <r>
      <rPr>
        <sz val="9"/>
        <color theme="1"/>
        <rFont val="ＭＳ Ｐゴシック"/>
        <family val="2"/>
        <charset val="128"/>
        <scheme val="minor"/>
      </rPr>
      <t xml:space="preserve">  x   </t>
    </r>
    <rPh sb="3" eb="4">
      <t>シュウ</t>
    </rPh>
    <rPh sb="5" eb="6">
      <t>ケイ</t>
    </rPh>
    <phoneticPr fontId="1"/>
  </si>
  <si>
    <r>
      <t>( M</t>
    </r>
    <r>
      <rPr>
        <sz val="6"/>
        <color theme="1"/>
        <rFont val="ＭＳ Ｐゴシック"/>
        <family val="3"/>
        <charset val="128"/>
        <scheme val="minor"/>
      </rPr>
      <t>集2計</t>
    </r>
    <r>
      <rPr>
        <sz val="9"/>
        <color theme="1"/>
        <rFont val="ＭＳ Ｐゴシック"/>
        <family val="2"/>
        <charset val="128"/>
        <scheme val="minor"/>
      </rPr>
      <t xml:space="preserve">  x   </t>
    </r>
    <rPh sb="3" eb="4">
      <t>シュウ</t>
    </rPh>
    <rPh sb="5" eb="6">
      <t>ケイ</t>
    </rPh>
    <phoneticPr fontId="1"/>
  </si>
  <si>
    <r>
      <rPr>
        <sz val="9"/>
        <color theme="1"/>
        <rFont val="ＭＳ Ｐゴシック"/>
        <family val="3"/>
        <charset val="128"/>
        <scheme val="minor"/>
      </rPr>
      <t>δ</t>
    </r>
    <r>
      <rPr>
        <sz val="6"/>
        <color theme="1"/>
        <rFont val="ＭＳ Ｐゴシック"/>
        <family val="3"/>
        <charset val="128"/>
        <scheme val="minor"/>
      </rPr>
      <t>集長雪１</t>
    </r>
    <r>
      <rPr>
        <sz val="9"/>
        <color theme="1"/>
        <rFont val="ＭＳ Ｐゴシック"/>
        <family val="3"/>
        <charset val="128"/>
        <scheme val="minor"/>
      </rPr>
      <t>　＝</t>
    </r>
    <rPh sb="1" eb="2">
      <t>シュウ</t>
    </rPh>
    <rPh sb="2" eb="3">
      <t>チョウ</t>
    </rPh>
    <rPh sb="3" eb="4">
      <t>ユキ</t>
    </rPh>
    <phoneticPr fontId="1"/>
  </si>
  <si>
    <r>
      <t>δ</t>
    </r>
    <r>
      <rPr>
        <sz val="6"/>
        <color theme="1"/>
        <rFont val="ＭＳ Ｐゴシック"/>
        <family val="3"/>
        <charset val="128"/>
        <scheme val="minor"/>
      </rPr>
      <t>集長雪２</t>
    </r>
    <r>
      <rPr>
        <sz val="8"/>
        <color theme="1"/>
        <rFont val="ＭＳ Ｐゴシック"/>
        <family val="3"/>
        <charset val="128"/>
        <scheme val="minor"/>
      </rPr>
      <t>　＝</t>
    </r>
    <rPh sb="1" eb="2">
      <t>シュウ</t>
    </rPh>
    <rPh sb="2" eb="3">
      <t>チョウ</t>
    </rPh>
    <rPh sb="3" eb="4">
      <t>ユキ</t>
    </rPh>
    <phoneticPr fontId="1"/>
  </si>
  <si>
    <t>Qcyo</t>
    <phoneticPr fontId="1"/>
  </si>
  <si>
    <t>Qcyoyu</t>
    <phoneticPr fontId="1"/>
  </si>
  <si>
    <t>すぎ</t>
    <phoneticPr fontId="1"/>
  </si>
  <si>
    <t>ひのき</t>
    <phoneticPr fontId="1"/>
  </si>
  <si>
    <t>あかまつ</t>
    <phoneticPr fontId="1"/>
  </si>
  <si>
    <t>( a )</t>
    <phoneticPr fontId="1"/>
  </si>
  <si>
    <t>( b )</t>
    <phoneticPr fontId="1"/>
  </si>
  <si>
    <t>( c )</t>
    <phoneticPr fontId="1"/>
  </si>
  <si>
    <t>( d )</t>
    <phoneticPr fontId="1"/>
  </si>
  <si>
    <t>supan</t>
    <phoneticPr fontId="1"/>
  </si>
  <si>
    <t>d1 (m)</t>
    <phoneticPr fontId="1"/>
  </si>
  <si>
    <t>d2 (m)</t>
    <phoneticPr fontId="1"/>
  </si>
  <si>
    <t>あ　　り</t>
    <phoneticPr fontId="1"/>
  </si>
  <si>
    <t>な　　し</t>
    <phoneticPr fontId="1"/>
  </si>
  <si>
    <t>ippann</t>
    <phoneticPr fontId="1"/>
  </si>
  <si>
    <t>tasetu</t>
    <phoneticPr fontId="1"/>
  </si>
  <si>
    <t>mo_cyo</t>
    <phoneticPr fontId="1"/>
  </si>
  <si>
    <t>mo_cyu</t>
    <phoneticPr fontId="1"/>
  </si>
  <si>
    <t>mo_tanyu</t>
    <phoneticPr fontId="1"/>
  </si>
  <si>
    <t>se_cyo</t>
    <phoneticPr fontId="1"/>
  </si>
  <si>
    <t>se_cyu</t>
    <phoneticPr fontId="1"/>
  </si>
  <si>
    <t>se_tanyu</t>
    <phoneticPr fontId="1"/>
  </si>
  <si>
    <t>ta_cyo</t>
    <phoneticPr fontId="1"/>
  </si>
  <si>
    <t>ta_cyu</t>
    <phoneticPr fontId="1"/>
  </si>
  <si>
    <t>ta_tanyu</t>
    <phoneticPr fontId="1"/>
  </si>
  <si>
    <t>MIN(kyo)</t>
    <phoneticPr fontId="1"/>
  </si>
  <si>
    <t>MIN(ta)</t>
    <phoneticPr fontId="1"/>
  </si>
  <si>
    <r>
      <t>σ</t>
    </r>
    <r>
      <rPr>
        <sz val="6"/>
        <color theme="1"/>
        <rFont val="ＭＳ Ｐゴシック"/>
        <family val="3"/>
        <charset val="128"/>
        <scheme val="minor"/>
      </rPr>
      <t>ｂ</t>
    </r>
    <r>
      <rPr>
        <sz val="9"/>
        <color theme="1"/>
        <rFont val="ＭＳ Ｐゴシック"/>
        <family val="3"/>
        <charset val="128"/>
        <scheme val="minor"/>
      </rPr>
      <t>　=</t>
    </r>
    <phoneticPr fontId="1"/>
  </si>
  <si>
    <t>すぎ</t>
    <phoneticPr fontId="1"/>
  </si>
  <si>
    <t>ひのき</t>
    <phoneticPr fontId="1"/>
  </si>
  <si>
    <t>あかまつ</t>
    <phoneticPr fontId="1"/>
  </si>
  <si>
    <t>あかまつ</t>
    <phoneticPr fontId="1"/>
  </si>
  <si>
    <r>
      <t>M</t>
    </r>
    <r>
      <rPr>
        <sz val="6"/>
        <color theme="1"/>
        <rFont val="ＭＳ Ｐゴシック"/>
        <family val="3"/>
        <charset val="128"/>
        <scheme val="minor"/>
      </rPr>
      <t>集１</t>
    </r>
    <r>
      <rPr>
        <sz val="9"/>
        <color theme="1"/>
        <rFont val="ＭＳ Ｐゴシック"/>
        <family val="3"/>
        <charset val="128"/>
        <scheme val="minor"/>
      </rPr>
      <t xml:space="preserve"> +</t>
    </r>
    <rPh sb="1" eb="2">
      <t>シュウ</t>
    </rPh>
    <phoneticPr fontId="1"/>
  </si>
  <si>
    <r>
      <t>( M</t>
    </r>
    <r>
      <rPr>
        <sz val="6"/>
        <color theme="1"/>
        <rFont val="ＭＳ Ｐゴシック"/>
        <family val="3"/>
        <charset val="128"/>
        <scheme val="minor"/>
      </rPr>
      <t xml:space="preserve">集2 </t>
    </r>
    <r>
      <rPr>
        <sz val="9"/>
        <color theme="1"/>
        <rFont val="ＭＳ Ｐゴシック"/>
        <family val="3"/>
        <charset val="128"/>
        <scheme val="minor"/>
      </rPr>
      <t xml:space="preserve"> x   </t>
    </r>
    <rPh sb="3" eb="4">
      <t>シュウ</t>
    </rPh>
    <phoneticPr fontId="1"/>
  </si>
  <si>
    <r>
      <t>M</t>
    </r>
    <r>
      <rPr>
        <sz val="6"/>
        <color theme="1"/>
        <rFont val="ＭＳ Ｐゴシック"/>
        <family val="3"/>
        <charset val="128"/>
        <scheme val="minor"/>
      </rPr>
      <t>集2</t>
    </r>
    <r>
      <rPr>
        <sz val="9"/>
        <color theme="1"/>
        <rFont val="ＭＳ Ｐゴシック"/>
        <family val="3"/>
        <charset val="128"/>
        <scheme val="minor"/>
      </rPr>
      <t xml:space="preserve"> +</t>
    </r>
    <rPh sb="1" eb="2">
      <t>シュウ</t>
    </rPh>
    <phoneticPr fontId="1"/>
  </si>
  <si>
    <r>
      <t>( M</t>
    </r>
    <r>
      <rPr>
        <sz val="6"/>
        <color theme="1"/>
        <rFont val="ＭＳ Ｐゴシック"/>
        <family val="3"/>
        <charset val="128"/>
        <scheme val="minor"/>
      </rPr>
      <t>集1</t>
    </r>
    <r>
      <rPr>
        <sz val="9"/>
        <color theme="1"/>
        <rFont val="ＭＳ Ｐゴシック"/>
        <family val="3"/>
        <charset val="128"/>
        <scheme val="minor"/>
      </rPr>
      <t xml:space="preserve">  x   </t>
    </r>
    <rPh sb="3" eb="4">
      <t>シュウ</t>
    </rPh>
    <phoneticPr fontId="1"/>
  </si>
  <si>
    <t>( b )</t>
    <phoneticPr fontId="1"/>
  </si>
  <si>
    <t>( c )</t>
    <phoneticPr fontId="1"/>
  </si>
  <si>
    <t>( d )</t>
    <phoneticPr fontId="1"/>
  </si>
  <si>
    <t>すぎ</t>
    <phoneticPr fontId="1"/>
  </si>
  <si>
    <t>ひのき</t>
    <phoneticPr fontId="1"/>
  </si>
  <si>
    <t>ひのき</t>
    <phoneticPr fontId="1"/>
  </si>
  <si>
    <t>あかまつ</t>
    <phoneticPr fontId="1"/>
  </si>
  <si>
    <t>あ　　り</t>
    <phoneticPr fontId="1"/>
  </si>
  <si>
    <t>な　　し</t>
    <phoneticPr fontId="1"/>
  </si>
  <si>
    <t>あかまつ</t>
    <phoneticPr fontId="1"/>
  </si>
  <si>
    <t>あ　　り</t>
    <phoneticPr fontId="1"/>
  </si>
  <si>
    <t>(  N / m  )</t>
    <phoneticPr fontId="1"/>
  </si>
  <si>
    <t>( a )</t>
    <phoneticPr fontId="1"/>
  </si>
  <si>
    <t>( c )</t>
    <phoneticPr fontId="1"/>
  </si>
  <si>
    <t>な　　し</t>
    <phoneticPr fontId="1"/>
  </si>
  <si>
    <t>すぎ</t>
    <phoneticPr fontId="1"/>
  </si>
  <si>
    <t>( c )</t>
    <phoneticPr fontId="1"/>
  </si>
  <si>
    <t>あかまつ</t>
    <phoneticPr fontId="1"/>
  </si>
  <si>
    <t xml:space="preserve">  =  ((</t>
    <phoneticPr fontId="1"/>
  </si>
  <si>
    <t>あ　　り</t>
    <phoneticPr fontId="1"/>
  </si>
  <si>
    <t>な　　し</t>
    <phoneticPr fontId="1"/>
  </si>
  <si>
    <t>このスパン表は、常時改良を加えています。県産材に関するデータが追加された場合や新しい機能が追加された場合には新しい版（バージョン）になります。また、単純ミスによる不具合が見つかった場合等についても事前の告知なしに新しい版になります。</t>
    <rPh sb="5" eb="6">
      <t>ヒョウ</t>
    </rPh>
    <rPh sb="8" eb="10">
      <t>ジョウジ</t>
    </rPh>
    <rPh sb="10" eb="12">
      <t>カイリョウ</t>
    </rPh>
    <rPh sb="13" eb="14">
      <t>クワ</t>
    </rPh>
    <rPh sb="20" eb="23">
      <t>ケンサンザイ</t>
    </rPh>
    <rPh sb="24" eb="25">
      <t>カン</t>
    </rPh>
    <rPh sb="31" eb="33">
      <t>ツイカ</t>
    </rPh>
    <rPh sb="36" eb="38">
      <t>バアイ</t>
    </rPh>
    <rPh sb="39" eb="40">
      <t>アタラ</t>
    </rPh>
    <rPh sb="42" eb="44">
      <t>キノウ</t>
    </rPh>
    <rPh sb="45" eb="47">
      <t>ツイカ</t>
    </rPh>
    <rPh sb="50" eb="52">
      <t>バアイ</t>
    </rPh>
    <rPh sb="54" eb="55">
      <t>アタラ</t>
    </rPh>
    <rPh sb="57" eb="58">
      <t>ハン</t>
    </rPh>
    <rPh sb="74" eb="76">
      <t>タンジュン</t>
    </rPh>
    <rPh sb="81" eb="84">
      <t>フグアイ</t>
    </rPh>
    <rPh sb="85" eb="86">
      <t>ミ</t>
    </rPh>
    <rPh sb="90" eb="92">
      <t>バアイ</t>
    </rPh>
    <rPh sb="92" eb="93">
      <t>トウ</t>
    </rPh>
    <rPh sb="98" eb="100">
      <t>ジゼン</t>
    </rPh>
    <rPh sb="101" eb="103">
      <t>コクチ</t>
    </rPh>
    <rPh sb="106" eb="107">
      <t>アタラ</t>
    </rPh>
    <rPh sb="109" eb="110">
      <t>ハン</t>
    </rPh>
    <phoneticPr fontId="1"/>
  </si>
  <si>
    <t>更新履歴</t>
    <rPh sb="0" eb="2">
      <t>コウシン</t>
    </rPh>
    <rPh sb="2" eb="4">
      <t>リレキ</t>
    </rPh>
    <phoneticPr fontId="1"/>
  </si>
  <si>
    <t>岡山県農林水産総合センター</t>
    <rPh sb="0" eb="3">
      <t>オカヤマケン</t>
    </rPh>
    <rPh sb="3" eb="5">
      <t>ノウリン</t>
    </rPh>
    <rPh sb="5" eb="7">
      <t>スイサン</t>
    </rPh>
    <rPh sb="7" eb="9">
      <t>ソウゴウ</t>
    </rPh>
    <phoneticPr fontId="1"/>
  </si>
  <si>
    <t>森林研究所</t>
    <rPh sb="0" eb="2">
      <t>シンリン</t>
    </rPh>
    <rPh sb="2" eb="5">
      <t>ケンキュウショ</t>
    </rPh>
    <phoneticPr fontId="1"/>
  </si>
  <si>
    <t>木材加工研究室</t>
    <rPh sb="0" eb="2">
      <t>モクザイ</t>
    </rPh>
    <rPh sb="2" eb="4">
      <t>カコウ</t>
    </rPh>
    <rPh sb="4" eb="7">
      <t>ケンキュウシツ</t>
    </rPh>
    <phoneticPr fontId="1"/>
  </si>
  <si>
    <t>すぎ</t>
  </si>
  <si>
    <t>たるき</t>
    <phoneticPr fontId="1"/>
  </si>
  <si>
    <t>母   屋</t>
    <rPh sb="0" eb="1">
      <t>ハハ</t>
    </rPh>
    <rPh sb="4" eb="5">
      <t>ヤ</t>
    </rPh>
    <phoneticPr fontId="1"/>
  </si>
  <si>
    <t>母    屋</t>
    <rPh sb="0" eb="1">
      <t>ハハ</t>
    </rPh>
    <rPh sb="5" eb="6">
      <t>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</si>
</sst>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176" formatCode="0_ "/>
    <numFmt numFmtId="177" formatCode="0.00_ "/>
    <numFmt numFmtId="178" formatCode="&quot;x&quot;\ \ 0.00"/>
    <numFmt numFmtId="179" formatCode="0.0_ "/>
    <numFmt numFmtId="180" formatCode="0.000_ "/>
    <numFmt numFmtId="181" formatCode="&quot;=&quot;\ \ \ 0.00"/>
    <numFmt numFmtId="182" formatCode="&quot;x&quot;\ \ 0.00\ &quot;=&quot;"/>
    <numFmt numFmtId="183" formatCode="&quot;x&quot;\ \ 0\ "/>
    <numFmt numFmtId="184" formatCode="&quot;)x&quot;\ \ 0"/>
    <numFmt numFmtId="185" formatCode="&quot;=&quot;\ 0.00"/>
    <numFmt numFmtId="186" formatCode="&quot;/&quot;\ 0&quot;=&quot;"/>
    <numFmt numFmtId="187" formatCode="\ 0.00\ \ &quot;=&quot;"/>
    <numFmt numFmtId="188" formatCode="&quot;x&quot;\ \ 0.00\ \ &quot;=&quot;"/>
    <numFmt numFmtId="189" formatCode="&quot;×&quot;0.000"/>
    <numFmt numFmtId="190" formatCode="&quot;+&quot;\ \ \ \ 0\ "/>
    <numFmt numFmtId="191" formatCode="&quot;=&quot;\ \ \ 0"/>
    <numFmt numFmtId="192" formatCode="0.00\ &quot;/&quot;"/>
    <numFmt numFmtId="193" formatCode="&quot;x&quot;\ \ 0\ .00"/>
    <numFmt numFmtId="194" formatCode="0.00\ &quot;x&quot;"/>
    <numFmt numFmtId="195" formatCode="&quot;x&quot;\ \ 0.00\ "/>
    <numFmt numFmtId="196" formatCode="&quot;=&quot;\ \ 0.0"/>
    <numFmt numFmtId="197" formatCode="&quot;x&quot;\ \ 0.000"/>
    <numFmt numFmtId="198" formatCode="#,##0.00_ "/>
    <numFmt numFmtId="199" formatCode="0.00_);[Red]\(0.00\)"/>
    <numFmt numFmtId="200" formatCode="0_);[Red]\(0\)"/>
    <numFmt numFmtId="201" formatCode="&quot;/&quot;\ 0.00"/>
    <numFmt numFmtId="202" formatCode="&quot;/&quot;\ 0"/>
    <numFmt numFmtId="203" formatCode="&quot;/2/&quot;\ 0.00"/>
    <numFmt numFmtId="204" formatCode="&quot;=&quot;\ \ 0.00"/>
    <numFmt numFmtId="205" formatCode="&quot;1 /&quot;\ 0"/>
  </numFmts>
  <fonts count="47">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sz val="6"/>
      <color theme="1"/>
      <name val="ＭＳ Ｐゴシック"/>
      <family val="2"/>
      <charset val="128"/>
      <scheme val="minor"/>
    </font>
    <font>
      <sz val="6"/>
      <name val="ＭＳ Ｐゴシック"/>
      <family val="3"/>
      <charset val="128"/>
    </font>
    <font>
      <sz val="9"/>
      <color theme="1"/>
      <name val="ＭＳ Ｐゴシック"/>
      <family val="3"/>
      <charset val="128"/>
      <scheme val="minor"/>
    </font>
    <font>
      <sz val="18"/>
      <color theme="1"/>
      <name val="AR P丸ゴシック体E"/>
      <family val="3"/>
      <charset val="128"/>
    </font>
    <font>
      <b/>
      <sz val="11"/>
      <color theme="1"/>
      <name val="ＭＳ Ｐゴシック"/>
      <family val="3"/>
      <charset val="128"/>
      <scheme val="minor"/>
    </font>
    <font>
      <sz val="8"/>
      <color theme="1"/>
      <name val="ＭＳ Ｐゴシック"/>
      <family val="2"/>
      <charset val="128"/>
      <scheme val="minor"/>
    </font>
    <font>
      <sz val="12"/>
      <color theme="1"/>
      <name val="AR P丸ゴシック体E"/>
      <family val="3"/>
      <charset val="128"/>
    </font>
    <font>
      <sz val="9"/>
      <color theme="1"/>
      <name val="AR P丸ゴシック体E"/>
      <family val="3"/>
      <charset val="128"/>
    </font>
    <font>
      <sz val="10"/>
      <color theme="1"/>
      <name val="AR P丸ゴシック体E"/>
      <family val="3"/>
      <charset val="128"/>
    </font>
    <font>
      <sz val="10.5"/>
      <color theme="1"/>
      <name val="Century"/>
      <family val="1"/>
    </font>
    <font>
      <sz val="14"/>
      <color theme="1"/>
      <name val="AR P丸ゴシック体E"/>
      <family val="3"/>
      <charset val="128"/>
    </font>
    <font>
      <sz val="9"/>
      <color theme="1"/>
      <name val="ＭＳ Ｐゴシック"/>
      <family val="2"/>
      <charset val="128"/>
      <scheme val="minor"/>
    </font>
    <font>
      <sz val="10"/>
      <color theme="1"/>
      <name val="ＭＳ Ｐゴシック"/>
      <family val="2"/>
      <charset val="128"/>
      <scheme val="minor"/>
    </font>
    <font>
      <sz val="16"/>
      <color theme="1"/>
      <name val="AR P丸ゴシック体E"/>
      <family val="3"/>
      <charset val="128"/>
    </font>
    <font>
      <sz val="8"/>
      <color theme="9" tint="-0.249977111117893"/>
      <name val="AR P丸ゴシック体E"/>
      <family val="3"/>
      <charset val="128"/>
    </font>
    <font>
      <b/>
      <sz val="10"/>
      <color theme="1"/>
      <name val="ＭＳ Ｐゴシック"/>
      <family val="3"/>
      <charset val="128"/>
      <scheme val="minor"/>
    </font>
    <font>
      <sz val="9"/>
      <name val="ＭＳ Ｐゴシック"/>
      <family val="3"/>
      <charset val="128"/>
    </font>
    <font>
      <vertAlign val="subscript"/>
      <sz val="9"/>
      <name val="ＭＳ Ｐゴシック"/>
      <family val="3"/>
      <charset val="128"/>
    </font>
    <font>
      <b/>
      <sz val="9"/>
      <color theme="1"/>
      <name val="AR P丸ゴシック体E"/>
      <family val="3"/>
      <charset val="128"/>
    </font>
    <font>
      <sz val="9"/>
      <color theme="1"/>
      <name val="ＭＳ Ｐゴシック"/>
      <family val="3"/>
      <charset val="128"/>
      <scheme val="major"/>
    </font>
    <font>
      <b/>
      <sz val="9"/>
      <color theme="1"/>
      <name val="ＭＳ Ｐゴシック"/>
      <family val="3"/>
      <charset val="128"/>
      <scheme val="minor"/>
    </font>
    <font>
      <b/>
      <sz val="9"/>
      <color theme="1"/>
      <name val="ＭＳ Ｐゴシック"/>
      <family val="2"/>
      <charset val="128"/>
      <scheme val="minor"/>
    </font>
    <font>
      <sz val="9"/>
      <name val="ＭＳ 明朝"/>
      <family val="1"/>
      <charset val="128"/>
    </font>
    <font>
      <sz val="9"/>
      <color theme="7" tint="-0.499984740745262"/>
      <name val="ＭＳ 明朝"/>
      <family val="1"/>
      <charset val="128"/>
    </font>
    <font>
      <sz val="9"/>
      <name val="ＭＳ Ｐゴシック"/>
      <family val="3"/>
      <charset val="128"/>
      <scheme val="major"/>
    </font>
    <font>
      <sz val="11"/>
      <color theme="1"/>
      <name val="ＭＳ Ｐゴシック"/>
      <family val="3"/>
      <charset val="128"/>
      <scheme val="minor"/>
    </font>
    <font>
      <sz val="8"/>
      <color theme="5" tint="-0.249977111117893"/>
      <name val="ＭＳ Ｐゴシック"/>
      <family val="3"/>
      <charset val="128"/>
      <scheme val="minor"/>
    </font>
    <font>
      <sz val="8"/>
      <color theme="1"/>
      <name val="ＭＳ Ｐゴシック"/>
      <family val="3"/>
      <charset val="128"/>
      <scheme val="major"/>
    </font>
    <font>
      <sz val="18"/>
      <color theme="1"/>
      <name val="ＭＳ Ｐゴシック"/>
      <family val="3"/>
      <charset val="128"/>
      <scheme val="minor"/>
    </font>
    <font>
      <b/>
      <sz val="8"/>
      <color theme="1"/>
      <name val="ＭＳ Ｐゴシック"/>
      <family val="3"/>
      <charset val="128"/>
      <scheme val="minor"/>
    </font>
    <font>
      <sz val="26"/>
      <color theme="1"/>
      <name val="AR P丸ゴシック体E"/>
      <family val="3"/>
      <charset val="128"/>
    </font>
    <font>
      <sz val="9"/>
      <color theme="7" tint="-0.499984740745262"/>
      <name val="ＭＳ Ｐゴシック"/>
      <family val="3"/>
      <charset val="128"/>
      <scheme val="minor"/>
    </font>
    <font>
      <sz val="9"/>
      <color theme="6" tint="-0.499984740745262"/>
      <name val="ＭＳ Ｐゴシック"/>
      <family val="3"/>
      <charset val="128"/>
      <scheme val="minor"/>
    </font>
    <font>
      <sz val="9"/>
      <name val="ＭＳ Ｐゴシック"/>
      <family val="3"/>
      <charset val="128"/>
      <scheme val="minor"/>
    </font>
    <font>
      <sz val="10.5"/>
      <color theme="1"/>
      <name val="ＭＳ Ｐゴシック"/>
      <family val="3"/>
      <charset val="128"/>
      <scheme val="minor"/>
    </font>
    <font>
      <sz val="20"/>
      <color theme="1"/>
      <name val="ＭＳ Ｐゴシック"/>
      <family val="3"/>
      <charset val="128"/>
      <scheme val="minor"/>
    </font>
    <font>
      <sz val="6"/>
      <color theme="1"/>
      <name val="ＭＳ Ｐゴシック"/>
      <family val="3"/>
      <charset val="128"/>
      <scheme val="minor"/>
    </font>
    <font>
      <sz val="6"/>
      <color theme="0"/>
      <name val="ＭＳ Ｐゴシック"/>
      <family val="3"/>
      <charset val="128"/>
      <scheme val="minor"/>
    </font>
    <font>
      <sz val="6"/>
      <color theme="0"/>
      <name val="ＭＳ Ｐゴシック"/>
      <family val="2"/>
      <charset val="128"/>
      <scheme val="minor"/>
    </font>
    <font>
      <sz val="8"/>
      <color theme="0"/>
      <name val="ＭＳ Ｐゴシック"/>
      <family val="2"/>
      <charset val="128"/>
      <scheme val="minor"/>
    </font>
    <font>
      <sz val="8"/>
      <color theme="0"/>
      <name val="ＭＳ Ｐゴシック"/>
      <family val="3"/>
      <charset val="128"/>
      <scheme val="minor"/>
    </font>
    <font>
      <sz val="20"/>
      <color theme="1"/>
      <name val="ＭＳ Ｐゴシック"/>
      <family val="2"/>
      <charset val="128"/>
      <scheme val="minor"/>
    </font>
    <font>
      <sz val="22"/>
      <color theme="1"/>
      <name val="ＭＳ Ｐゴシック"/>
      <family val="2"/>
      <charset val="128"/>
      <scheme val="minor"/>
    </font>
  </fonts>
  <fills count="6">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6" tint="0.39994506668294322"/>
        <bgColor indexed="64"/>
      </patternFill>
    </fill>
    <fill>
      <patternFill patternType="solid">
        <fgColor theme="6" tint="0.59996337778862885"/>
        <bgColor indexed="64"/>
      </patternFill>
    </fill>
  </fills>
  <borders count="19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right/>
      <top/>
      <bottom style="thin">
        <color auto="1"/>
      </bottom>
      <diagonal/>
    </border>
    <border>
      <left style="mediumDashed">
        <color auto="1"/>
      </left>
      <right/>
      <top/>
      <bottom/>
      <diagonal/>
    </border>
    <border>
      <left style="mediumDashed">
        <color auto="1"/>
      </left>
      <right/>
      <top/>
      <bottom style="thin">
        <color auto="1"/>
      </bottom>
      <diagonal/>
    </border>
    <border>
      <left/>
      <right/>
      <top/>
      <bottom style="medium">
        <color theme="1"/>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Dashed">
        <color rgb="FFFFC000"/>
      </left>
      <right/>
      <top/>
      <bottom/>
      <diagonal/>
    </border>
    <border>
      <left style="medium">
        <color auto="1"/>
      </left>
      <right style="thin">
        <color auto="1"/>
      </right>
      <top style="dashed">
        <color auto="1"/>
      </top>
      <bottom/>
      <diagonal/>
    </border>
    <border>
      <left/>
      <right/>
      <top style="dashed">
        <color auto="1"/>
      </top>
      <bottom/>
      <diagonal/>
    </border>
    <border>
      <left/>
      <right style="medium">
        <color auto="1"/>
      </right>
      <top style="dashed">
        <color auto="1"/>
      </top>
      <bottom/>
      <diagonal/>
    </border>
    <border>
      <left style="thin">
        <color indexed="64"/>
      </left>
      <right/>
      <top style="dashed">
        <color auto="1"/>
      </top>
      <bottom/>
      <diagonal/>
    </border>
    <border>
      <left/>
      <right/>
      <top/>
      <bottom style="thick">
        <color theme="2" tint="-0.499984740745262"/>
      </bottom>
      <diagonal/>
    </border>
    <border>
      <left/>
      <right style="thick">
        <color theme="2" tint="-0.499984740745262"/>
      </right>
      <top/>
      <bottom style="thick">
        <color theme="2" tint="-0.499984740745262"/>
      </bottom>
      <diagonal/>
    </border>
    <border>
      <left style="thick">
        <color theme="2" tint="-0.499984740745262"/>
      </left>
      <right/>
      <top style="thick">
        <color theme="2" tint="-0.499984740745262"/>
      </top>
      <bottom style="mediumDashed">
        <color theme="2" tint="-0.499984740745262"/>
      </bottom>
      <diagonal/>
    </border>
    <border>
      <left/>
      <right/>
      <top style="thick">
        <color theme="2" tint="-0.499984740745262"/>
      </top>
      <bottom style="mediumDashed">
        <color theme="2" tint="-0.499984740745262"/>
      </bottom>
      <diagonal/>
    </border>
    <border>
      <left/>
      <right style="thick">
        <color theme="2" tint="-0.499984740745262"/>
      </right>
      <top style="thick">
        <color theme="2" tint="-0.499984740745262"/>
      </top>
      <bottom style="mediumDashed">
        <color theme="2" tint="-0.499984740745262"/>
      </bottom>
      <diagonal/>
    </border>
    <border>
      <left/>
      <right/>
      <top style="dashDotDot">
        <color auto="1"/>
      </top>
      <bottom/>
      <diagonal/>
    </border>
    <border>
      <left style="thin">
        <color indexed="64"/>
      </left>
      <right/>
      <top style="dashDot">
        <color indexed="64"/>
      </top>
      <bottom/>
      <diagonal/>
    </border>
    <border>
      <left style="medium">
        <color auto="1"/>
      </left>
      <right style="thin">
        <color auto="1"/>
      </right>
      <top style="thin">
        <color auto="1"/>
      </top>
      <bottom/>
      <diagonal/>
    </border>
    <border>
      <left/>
      <right style="medium">
        <color auto="1"/>
      </right>
      <top style="thin">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indexed="64"/>
      </left>
      <right/>
      <top style="hair">
        <color indexed="64"/>
      </top>
      <bottom/>
      <diagonal/>
    </border>
    <border>
      <left/>
      <right style="medium">
        <color auto="1"/>
      </right>
      <top style="hair">
        <color indexed="64"/>
      </top>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medium">
        <color auto="1"/>
      </left>
      <right style="thin">
        <color auto="1"/>
      </right>
      <top/>
      <bottom style="dotted">
        <color auto="1"/>
      </bottom>
      <diagonal/>
    </border>
    <border>
      <left/>
      <right/>
      <top/>
      <bottom style="dashed">
        <color auto="1"/>
      </bottom>
      <diagonal/>
    </border>
    <border>
      <left/>
      <right style="medium">
        <color auto="1"/>
      </right>
      <top/>
      <bottom style="dashed">
        <color auto="1"/>
      </bottom>
      <diagonal/>
    </border>
    <border>
      <left style="medium">
        <color auto="1"/>
      </left>
      <right style="thin">
        <color auto="1"/>
      </right>
      <top/>
      <bottom style="dashed">
        <color auto="1"/>
      </bottom>
      <diagonal/>
    </border>
    <border>
      <left/>
      <right style="medium">
        <color auto="1"/>
      </right>
      <top/>
      <bottom style="dotted">
        <color auto="1"/>
      </bottom>
      <diagonal/>
    </border>
    <border>
      <left style="thin">
        <color auto="1"/>
      </left>
      <right/>
      <top/>
      <bottom style="dashed">
        <color auto="1"/>
      </bottom>
      <diagonal/>
    </border>
    <border>
      <left style="thin">
        <color auto="1"/>
      </left>
      <right/>
      <top/>
      <bottom style="dotted">
        <color auto="1"/>
      </bottom>
      <diagonal/>
    </border>
    <border>
      <left/>
      <right/>
      <top/>
      <bottom style="dotted">
        <color auto="1"/>
      </bottom>
      <diagonal/>
    </border>
    <border>
      <left style="medium">
        <color auto="1"/>
      </left>
      <right style="thin">
        <color auto="1"/>
      </right>
      <top/>
      <bottom style="medium">
        <color auto="1"/>
      </bottom>
      <diagonal/>
    </border>
    <border>
      <left style="thin">
        <color auto="1"/>
      </left>
      <right/>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bottom style="mediumDashed">
        <color auto="1"/>
      </bottom>
      <diagonal/>
    </border>
    <border>
      <left/>
      <right/>
      <top style="mediumDashed">
        <color indexed="64"/>
      </top>
      <bottom style="thin">
        <color indexed="64"/>
      </bottom>
      <diagonal/>
    </border>
    <border>
      <left style="medium">
        <color auto="1"/>
      </left>
      <right style="thin">
        <color auto="1"/>
      </right>
      <top style="mediumDashed">
        <color auto="1"/>
      </top>
      <bottom/>
      <diagonal/>
    </border>
    <border>
      <left style="thin">
        <color indexed="64"/>
      </left>
      <right/>
      <top style="mediumDashed">
        <color auto="1"/>
      </top>
      <bottom/>
      <diagonal/>
    </border>
    <border>
      <left/>
      <right/>
      <top style="mediumDashed">
        <color auto="1"/>
      </top>
      <bottom/>
      <diagonal/>
    </border>
    <border>
      <left style="thin">
        <color indexed="64"/>
      </left>
      <right style="thin">
        <color indexed="64"/>
      </right>
      <top style="mediumDashed">
        <color auto="1"/>
      </top>
      <bottom style="thin">
        <color indexed="64"/>
      </bottom>
      <diagonal/>
    </border>
    <border>
      <left/>
      <right style="medium">
        <color auto="1"/>
      </right>
      <top style="mediumDashed">
        <color auto="1"/>
      </top>
      <bottom/>
      <diagonal/>
    </border>
    <border>
      <left style="thin">
        <color indexed="64"/>
      </left>
      <right/>
      <top style="mediumDashed">
        <color auto="1"/>
      </top>
      <bottom style="thin">
        <color indexed="64"/>
      </bottom>
      <diagonal/>
    </border>
    <border>
      <left/>
      <right style="thin">
        <color indexed="64"/>
      </right>
      <top style="mediumDashed">
        <color auto="1"/>
      </top>
      <bottom style="thin">
        <color indexed="64"/>
      </bottom>
      <diagonal/>
    </border>
    <border>
      <left style="thin">
        <color indexed="64"/>
      </left>
      <right style="thin">
        <color indexed="64"/>
      </right>
      <top style="thin">
        <color indexed="64"/>
      </top>
      <bottom style="mediumDashed">
        <color auto="1"/>
      </bottom>
      <diagonal/>
    </border>
    <border>
      <left/>
      <right style="medium">
        <color auto="1"/>
      </right>
      <top/>
      <bottom style="mediumDashed">
        <color auto="1"/>
      </bottom>
      <diagonal/>
    </border>
    <border>
      <left style="medium">
        <color auto="1"/>
      </left>
      <right style="thin">
        <color indexed="64"/>
      </right>
      <top/>
      <bottom style="mediumDashed">
        <color auto="1"/>
      </bottom>
      <diagonal/>
    </border>
    <border>
      <left style="medium">
        <color auto="1"/>
      </left>
      <right style="thin">
        <color auto="1"/>
      </right>
      <top/>
      <bottom style="mediumDashDot">
        <color auto="1"/>
      </bottom>
      <diagonal/>
    </border>
    <border>
      <left/>
      <right/>
      <top/>
      <bottom style="mediumDashDot">
        <color auto="1"/>
      </bottom>
      <diagonal/>
    </border>
    <border>
      <left/>
      <right style="thin">
        <color auto="1"/>
      </right>
      <top/>
      <bottom style="mediumDashDot">
        <color auto="1"/>
      </bottom>
      <diagonal/>
    </border>
    <border>
      <left style="medium">
        <color auto="1"/>
      </left>
      <right style="thin">
        <color auto="1"/>
      </right>
      <top style="mediumDashDot">
        <color auto="1"/>
      </top>
      <bottom/>
      <diagonal/>
    </border>
    <border>
      <left/>
      <right style="thin">
        <color auto="1"/>
      </right>
      <top/>
      <bottom style="medium">
        <color auto="1"/>
      </bottom>
      <diagonal/>
    </border>
    <border>
      <left/>
      <right style="medium">
        <color auto="1"/>
      </right>
      <top/>
      <bottom style="mediumDashDot">
        <color auto="1"/>
      </bottom>
      <diagonal/>
    </border>
    <border>
      <left style="medium">
        <color auto="1"/>
      </left>
      <right/>
      <top/>
      <bottom style="dashed">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thick">
        <color theme="2" tint="-0.499984740745262"/>
      </left>
      <right/>
      <top style="mediumDashed">
        <color theme="2" tint="-0.499984740745262"/>
      </top>
      <bottom style="thick">
        <color theme="2" tint="-0.499984740745262"/>
      </bottom>
      <diagonal/>
    </border>
    <border>
      <left/>
      <right/>
      <top style="mediumDashed">
        <color theme="2" tint="-0.499984740745262"/>
      </top>
      <bottom style="thick">
        <color theme="2" tint="-0.499984740745262"/>
      </bottom>
      <diagonal/>
    </border>
    <border>
      <left/>
      <right style="thick">
        <color theme="2" tint="-0.499984740745262"/>
      </right>
      <top style="mediumDashed">
        <color theme="2" tint="-0.499984740745262"/>
      </top>
      <bottom style="thick">
        <color theme="2" tint="-0.499984740745262"/>
      </bottom>
      <diagonal/>
    </border>
    <border>
      <left style="thin">
        <color indexed="64"/>
      </left>
      <right style="medium">
        <color indexed="64"/>
      </right>
      <top/>
      <bottom/>
      <diagonal/>
    </border>
    <border>
      <left style="medium">
        <color auto="1"/>
      </left>
      <right style="thin">
        <color auto="1"/>
      </right>
      <top/>
      <bottom style="thin">
        <color indexed="64"/>
      </bottom>
      <diagonal/>
    </border>
    <border>
      <left style="medium">
        <color auto="1"/>
      </left>
      <right/>
      <top style="dashed">
        <color auto="1"/>
      </top>
      <bottom/>
      <diagonal/>
    </border>
    <border>
      <left style="medium">
        <color theme="2" tint="-0.749961851863155"/>
      </left>
      <right/>
      <top style="medium">
        <color theme="2" tint="-0.749961851863155"/>
      </top>
      <bottom/>
      <diagonal/>
    </border>
    <border>
      <left/>
      <right/>
      <top style="medium">
        <color theme="2" tint="-0.749961851863155"/>
      </top>
      <bottom/>
      <diagonal/>
    </border>
    <border>
      <left/>
      <right style="medium">
        <color theme="2" tint="-0.749961851863155"/>
      </right>
      <top style="medium">
        <color theme="2" tint="-0.749961851863155"/>
      </top>
      <bottom/>
      <diagonal/>
    </border>
    <border>
      <left style="medium">
        <color theme="2" tint="-0.749961851863155"/>
      </left>
      <right/>
      <top/>
      <bottom/>
      <diagonal/>
    </border>
    <border>
      <left/>
      <right style="medium">
        <color theme="2" tint="-0.749961851863155"/>
      </right>
      <top/>
      <bottom/>
      <diagonal/>
    </border>
    <border>
      <left style="medium">
        <color theme="2" tint="-0.749961851863155"/>
      </left>
      <right/>
      <top style="mediumDashed">
        <color theme="2" tint="-0.749961851863155"/>
      </top>
      <bottom style="medium">
        <color theme="2" tint="-0.749961851863155"/>
      </bottom>
      <diagonal/>
    </border>
    <border>
      <left/>
      <right/>
      <top style="mediumDashed">
        <color theme="2" tint="-0.749961851863155"/>
      </top>
      <bottom style="medium">
        <color theme="2" tint="-0.749961851863155"/>
      </bottom>
      <diagonal/>
    </border>
    <border>
      <left/>
      <right style="medium">
        <color theme="2" tint="-0.749961851863155"/>
      </right>
      <top style="mediumDashed">
        <color theme="2" tint="-0.749961851863155"/>
      </top>
      <bottom style="medium">
        <color theme="2" tint="-0.749961851863155"/>
      </bottom>
      <diagonal/>
    </border>
    <border>
      <left style="medium">
        <color theme="2" tint="-0.749961851863155"/>
      </left>
      <right/>
      <top style="medium">
        <color theme="2" tint="-0.749961851863155"/>
      </top>
      <bottom style="thin">
        <color theme="2" tint="-0.749961851863155"/>
      </bottom>
      <diagonal/>
    </border>
    <border>
      <left style="medium">
        <color theme="2" tint="-0.749961851863155"/>
      </left>
      <right/>
      <top style="thin">
        <color theme="2" tint="-0.749961851863155"/>
      </top>
      <bottom style="thin">
        <color theme="2" tint="-0.749961851863155"/>
      </bottom>
      <diagonal/>
    </border>
    <border>
      <left style="medium">
        <color theme="2" tint="-0.749961851863155"/>
      </left>
      <right/>
      <top style="thin">
        <color theme="2" tint="-0.749961851863155"/>
      </top>
      <bottom style="mediumDashed">
        <color theme="2" tint="-0.749961851863155"/>
      </bottom>
      <diagonal/>
    </border>
    <border>
      <left style="thin">
        <color theme="2" tint="-0.749961851863155"/>
      </left>
      <right style="medium">
        <color theme="2" tint="-0.749961851863155"/>
      </right>
      <top style="medium">
        <color theme="2" tint="-0.749961851863155"/>
      </top>
      <bottom style="thin">
        <color theme="2" tint="-0.749961851863155"/>
      </bottom>
      <diagonal/>
    </border>
    <border>
      <left style="thin">
        <color theme="2" tint="-0.749961851863155"/>
      </left>
      <right style="medium">
        <color theme="2" tint="-0.749961851863155"/>
      </right>
      <top style="thin">
        <color theme="2" tint="-0.749961851863155"/>
      </top>
      <bottom style="thin">
        <color theme="2" tint="-0.749961851863155"/>
      </bottom>
      <diagonal/>
    </border>
    <border>
      <left style="thin">
        <color theme="2" tint="-0.749961851863155"/>
      </left>
      <right style="thin">
        <color auto="1"/>
      </right>
      <top style="medium">
        <color theme="2" tint="-0.749961851863155"/>
      </top>
      <bottom style="thin">
        <color auto="1"/>
      </bottom>
      <diagonal/>
    </border>
    <border>
      <left style="thin">
        <color theme="2" tint="-0.749961851863155"/>
      </left>
      <right/>
      <top style="thin">
        <color auto="1"/>
      </top>
      <bottom style="thin">
        <color indexed="64"/>
      </bottom>
      <diagonal/>
    </border>
    <border>
      <left/>
      <right style="thin">
        <color theme="2" tint="-0.749961851863155"/>
      </right>
      <top style="thin">
        <color auto="1"/>
      </top>
      <bottom style="thin">
        <color indexed="64"/>
      </bottom>
      <diagonal/>
    </border>
    <border>
      <left style="thin">
        <color auto="1"/>
      </left>
      <right style="thin">
        <color auto="1"/>
      </right>
      <top style="mediumDashed">
        <color auto="1"/>
      </top>
      <bottom style="medium">
        <color auto="1"/>
      </bottom>
      <diagonal/>
    </border>
    <border>
      <left style="thin">
        <color auto="1"/>
      </left>
      <right style="medium">
        <color theme="2" tint="-0.749961851863155"/>
      </right>
      <top style="mediumDashed">
        <color auto="1"/>
      </top>
      <bottom style="medium">
        <color auto="1"/>
      </bottom>
      <diagonal/>
    </border>
    <border>
      <left style="thin">
        <color theme="2" tint="-0.749961851863155"/>
      </left>
      <right style="medium">
        <color theme="2" tint="-0.749961851863155"/>
      </right>
      <top style="thin">
        <color theme="2" tint="-0.749961851863155"/>
      </top>
      <bottom style="mediumDashed">
        <color auto="1"/>
      </bottom>
      <diagonal/>
    </border>
    <border>
      <left style="thin">
        <color auto="1"/>
      </left>
      <right/>
      <top style="thin">
        <color auto="1"/>
      </top>
      <bottom style="medium">
        <color auto="1"/>
      </bottom>
      <diagonal/>
    </border>
    <border>
      <left/>
      <right style="medium">
        <color auto="1"/>
      </right>
      <top style="thin">
        <color auto="1"/>
      </top>
      <bottom style="thin">
        <color indexed="64"/>
      </bottom>
      <diagonal/>
    </border>
    <border>
      <left style="medium">
        <color indexed="64"/>
      </left>
      <right/>
      <top style="thin">
        <color indexed="64"/>
      </top>
      <bottom style="thin">
        <color indexed="64"/>
      </bottom>
      <diagonal/>
    </border>
    <border>
      <left/>
      <right style="medium">
        <color auto="1"/>
      </right>
      <top/>
      <bottom style="thin">
        <color auto="1"/>
      </bottom>
      <diagonal/>
    </border>
    <border>
      <left style="medium">
        <color auto="1"/>
      </left>
      <right style="thin">
        <color auto="1"/>
      </right>
      <top/>
      <bottom style="thick">
        <color auto="1"/>
      </bottom>
      <diagonal/>
    </border>
    <border>
      <left style="thin">
        <color auto="1"/>
      </left>
      <right/>
      <top/>
      <bottom style="thick">
        <color auto="1"/>
      </bottom>
      <diagonal/>
    </border>
    <border>
      <left/>
      <right/>
      <top/>
      <bottom style="thick">
        <color auto="1"/>
      </bottom>
      <diagonal/>
    </border>
    <border>
      <left style="thin">
        <color indexed="64"/>
      </left>
      <right style="thin">
        <color indexed="64"/>
      </right>
      <top style="thin">
        <color indexed="64"/>
      </top>
      <bottom style="thick">
        <color auto="1"/>
      </bottom>
      <diagonal/>
    </border>
    <border>
      <left style="thin">
        <color auto="1"/>
      </left>
      <right style="medium">
        <color auto="1"/>
      </right>
      <top style="thin">
        <color auto="1"/>
      </top>
      <bottom style="thick">
        <color auto="1"/>
      </bottom>
      <diagonal/>
    </border>
    <border>
      <left style="thin">
        <color theme="2" tint="-0.749961851863155"/>
      </left>
      <right/>
      <top style="thin">
        <color auto="1"/>
      </top>
      <bottom style="mediumDashed">
        <color auto="1"/>
      </bottom>
      <diagonal/>
    </border>
    <border>
      <left/>
      <right/>
      <top style="thin">
        <color auto="1"/>
      </top>
      <bottom style="mediumDashed">
        <color auto="1"/>
      </bottom>
      <diagonal/>
    </border>
    <border>
      <left/>
      <right style="thin">
        <color theme="2" tint="-0.749961851863155"/>
      </right>
      <top style="thin">
        <color auto="1"/>
      </top>
      <bottom style="mediumDashed">
        <color auto="1"/>
      </bottom>
      <diagonal/>
    </border>
    <border>
      <left/>
      <right/>
      <top style="thin">
        <color theme="2" tint="-0.749961851863155"/>
      </top>
      <bottom style="thin">
        <color theme="2" tint="-0.749961851863155"/>
      </bottom>
      <diagonal/>
    </border>
    <border>
      <left/>
      <right/>
      <top style="thin">
        <color theme="2" tint="-0.749961851863155"/>
      </top>
      <bottom style="mediumDashed">
        <color theme="2" tint="-0.749961851863155"/>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top style="medium">
        <color theme="2" tint="-0.749961851863155"/>
      </top>
      <bottom style="thin">
        <color theme="2" tint="-0.749961851863155"/>
      </bottom>
      <diagonal/>
    </border>
    <border>
      <left style="thin">
        <color auto="1"/>
      </left>
      <right style="thin">
        <color auto="1"/>
      </right>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thin">
        <color auto="1"/>
      </top>
      <bottom/>
      <diagonal/>
    </border>
    <border>
      <left style="medium">
        <color auto="1"/>
      </left>
      <right style="medium">
        <color auto="1"/>
      </right>
      <top/>
      <bottom/>
      <diagonal/>
    </border>
    <border>
      <left style="medium">
        <color auto="1"/>
      </left>
      <right style="medium">
        <color auto="1"/>
      </right>
      <top style="medium">
        <color auto="1"/>
      </top>
      <bottom/>
      <diagonal/>
    </border>
    <border>
      <left style="thin">
        <color auto="1"/>
      </left>
      <right style="medium">
        <color auto="1"/>
      </right>
      <top style="thin">
        <color auto="1"/>
      </top>
      <bottom/>
      <diagonal/>
    </border>
    <border>
      <left style="thin">
        <color indexed="64"/>
      </left>
      <right style="thin">
        <color indexed="64"/>
      </right>
      <top/>
      <bottom style="thin">
        <color indexed="64"/>
      </bottom>
      <diagonal/>
    </border>
    <border>
      <left/>
      <right style="thin">
        <color auto="1"/>
      </right>
      <top style="medium">
        <color auto="1"/>
      </top>
      <bottom style="thin">
        <color auto="1"/>
      </bottom>
      <diagonal/>
    </border>
    <border>
      <left style="medium">
        <color theme="1"/>
      </left>
      <right style="thin">
        <color auto="1"/>
      </right>
      <top/>
      <bottom style="medium">
        <color theme="1"/>
      </bottom>
      <diagonal/>
    </border>
    <border>
      <left style="thick">
        <color auto="1"/>
      </left>
      <right/>
      <top style="thick">
        <color auto="1"/>
      </top>
      <bottom style="thick">
        <color auto="1"/>
      </bottom>
      <diagonal/>
    </border>
    <border>
      <left style="thick">
        <color auto="1"/>
      </left>
      <right/>
      <top style="thick">
        <color auto="1"/>
      </top>
      <bottom/>
      <diagonal/>
    </border>
    <border>
      <left/>
      <right/>
      <top style="thick">
        <color auto="1"/>
      </top>
      <bottom/>
      <diagonal/>
    </border>
    <border>
      <left style="thick">
        <color auto="1"/>
      </left>
      <right style="thick">
        <color auto="1"/>
      </right>
      <top style="thick">
        <color auto="1"/>
      </top>
      <bottom style="thick">
        <color auto="1"/>
      </bottom>
      <diagonal/>
    </border>
    <border>
      <left style="thick">
        <color auto="1"/>
      </left>
      <right style="thick">
        <color theme="9" tint="-0.24994659260841701"/>
      </right>
      <top style="thick">
        <color auto="1"/>
      </top>
      <bottom style="thick">
        <color auto="1"/>
      </bottom>
      <diagonal/>
    </border>
    <border>
      <left/>
      <right style="thick">
        <color auto="1"/>
      </right>
      <top style="thick">
        <color auto="1"/>
      </top>
      <bottom style="thick">
        <color auto="1"/>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style="thick">
        <color auto="1"/>
      </right>
      <top/>
      <bottom style="thick">
        <color auto="1"/>
      </bottom>
      <diagonal/>
    </border>
    <border>
      <left style="thin">
        <color indexed="64"/>
      </left>
      <right style="medium">
        <color auto="1"/>
      </right>
      <top/>
      <bottom style="medium">
        <color auto="1"/>
      </bottom>
      <diagonal/>
    </border>
    <border>
      <left style="thin">
        <color auto="1"/>
      </left>
      <right/>
      <top style="medium">
        <color auto="1"/>
      </top>
      <bottom style="thin">
        <color auto="1"/>
      </bottom>
      <diagonal/>
    </border>
    <border>
      <left/>
      <right/>
      <top style="thick">
        <color auto="1"/>
      </top>
      <bottom style="thick">
        <color auto="1"/>
      </bottom>
      <diagonal/>
    </border>
    <border>
      <left style="thin">
        <color indexed="64"/>
      </left>
      <right/>
      <top style="medium">
        <color auto="1"/>
      </top>
      <bottom/>
      <diagonal/>
    </border>
    <border>
      <left/>
      <right style="medium">
        <color auto="1"/>
      </right>
      <top style="thin">
        <color auto="1"/>
      </top>
      <bottom style="medium">
        <color auto="1"/>
      </bottom>
      <diagonal/>
    </border>
    <border>
      <left style="thick">
        <color theme="2" tint="-0.499984740745262"/>
      </left>
      <right/>
      <top/>
      <bottom style="mediumDashed">
        <color theme="2" tint="-0.499984740745262"/>
      </bottom>
      <diagonal/>
    </border>
    <border>
      <left/>
      <right style="thin">
        <color auto="1"/>
      </right>
      <top/>
      <bottom style="thin">
        <color auto="1"/>
      </bottom>
      <diagonal/>
    </border>
    <border>
      <left style="mediumDashed">
        <color auto="1"/>
      </left>
      <right/>
      <top style="thick">
        <color auto="1"/>
      </top>
      <bottom/>
      <diagonal/>
    </border>
    <border>
      <left style="mediumDashed">
        <color auto="1"/>
      </left>
      <right/>
      <top/>
      <bottom style="thick">
        <color auto="1"/>
      </bottom>
      <diagonal/>
    </border>
    <border>
      <left style="thick">
        <color theme="9" tint="-0.24994659260841701"/>
      </left>
      <right/>
      <top style="thick">
        <color auto="1"/>
      </top>
      <bottom style="thick">
        <color auto="1"/>
      </bottom>
      <diagonal/>
    </border>
    <border>
      <left style="medium">
        <color auto="1"/>
      </left>
      <right/>
      <top style="thick">
        <color auto="1"/>
      </top>
      <bottom style="thick">
        <color auto="1"/>
      </bottom>
      <diagonal/>
    </border>
    <border>
      <left/>
      <right/>
      <top style="medium">
        <color auto="1"/>
      </top>
      <bottom style="medium">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medium">
        <color auto="1"/>
      </left>
      <right style="thin">
        <color auto="1"/>
      </right>
      <top style="thin">
        <color auto="1"/>
      </top>
      <bottom style="thick">
        <color auto="1"/>
      </bottom>
      <diagonal/>
    </border>
    <border>
      <left/>
      <right style="thin">
        <color indexed="64"/>
      </right>
      <top style="thin">
        <color indexed="64"/>
      </top>
      <bottom style="thick">
        <color auto="1"/>
      </bottom>
      <diagonal/>
    </border>
    <border>
      <left style="thin">
        <color indexed="64"/>
      </left>
      <right/>
      <top style="thin">
        <color indexed="64"/>
      </top>
      <bottom style="thick">
        <color auto="1"/>
      </bottom>
      <diagonal/>
    </border>
    <border diagonalUp="1">
      <left style="thin">
        <color indexed="64"/>
      </left>
      <right style="thin">
        <color indexed="64"/>
      </right>
      <top style="thin">
        <color indexed="64"/>
      </top>
      <bottom style="thin">
        <color indexed="64"/>
      </bottom>
      <diagonal style="thin">
        <color indexed="64"/>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thick">
        <color auto="1"/>
      </right>
      <top style="medium">
        <color auto="1"/>
      </top>
      <bottom style="medium">
        <color auto="1"/>
      </bottom>
      <diagonal/>
    </border>
    <border>
      <left style="medium">
        <color auto="1"/>
      </left>
      <right style="medium">
        <color auto="1"/>
      </right>
      <top style="medium">
        <color auto="1"/>
      </top>
      <bottom style="thick">
        <color auto="1"/>
      </bottom>
      <diagonal/>
    </border>
    <border>
      <left style="medium">
        <color auto="1"/>
      </left>
      <right style="thick">
        <color auto="1"/>
      </right>
      <top style="medium">
        <color auto="1"/>
      </top>
      <bottom style="thick">
        <color auto="1"/>
      </bottom>
      <diagonal/>
    </border>
    <border>
      <left/>
      <right style="medium">
        <color auto="1"/>
      </right>
      <top style="medium">
        <color auto="1"/>
      </top>
      <bottom style="thick">
        <color auto="1"/>
      </bottom>
      <diagonal/>
    </border>
    <border>
      <left style="medium">
        <color auto="1"/>
      </left>
      <right/>
      <top style="medium">
        <color auto="1"/>
      </top>
      <bottom style="thick">
        <color auto="1"/>
      </bottom>
      <diagonal/>
    </border>
    <border>
      <left style="thick">
        <color auto="1"/>
      </left>
      <right/>
      <top style="medium">
        <color auto="1"/>
      </top>
      <bottom style="thick">
        <color auto="1"/>
      </bottom>
      <diagonal/>
    </border>
    <border>
      <left style="medium">
        <color auto="1"/>
      </left>
      <right style="medium">
        <color auto="1"/>
      </right>
      <top/>
      <bottom style="medium">
        <color auto="1"/>
      </bottom>
      <diagonal/>
    </border>
    <border diagonalUp="1" diagonalDown="1">
      <left style="medium">
        <color auto="1"/>
      </left>
      <right style="thin">
        <color auto="1"/>
      </right>
      <top style="medium">
        <color auto="1"/>
      </top>
      <bottom style="thin">
        <color auto="1"/>
      </bottom>
      <diagonal style="thin">
        <color auto="1"/>
      </diagonal>
    </border>
    <border>
      <left/>
      <right style="thin">
        <color auto="1"/>
      </right>
      <top style="thin">
        <color auto="1"/>
      </top>
      <bottom style="medium">
        <color auto="1"/>
      </bottom>
      <diagonal/>
    </border>
    <border>
      <left style="thin">
        <color auto="1"/>
      </left>
      <right style="medium">
        <color auto="1"/>
      </right>
      <top/>
      <bottom style="thin">
        <color auto="1"/>
      </bottom>
      <diagonal/>
    </border>
    <border>
      <left/>
      <right/>
      <top style="thin">
        <color auto="1"/>
      </top>
      <bottom style="medium">
        <color auto="1"/>
      </bottom>
      <diagonal/>
    </border>
    <border>
      <left style="thin">
        <color auto="1"/>
      </left>
      <right style="medium">
        <color auto="1"/>
      </right>
      <top style="medium">
        <color auto="1"/>
      </top>
      <bottom/>
      <diagonal/>
    </border>
    <border>
      <left style="medium">
        <color theme="1"/>
      </left>
      <right style="thin">
        <color auto="1"/>
      </right>
      <top/>
      <bottom/>
      <diagonal/>
    </border>
    <border diagonalUp="1">
      <left style="thin">
        <color auto="1"/>
      </left>
      <right style="thin">
        <color auto="1"/>
      </right>
      <top style="medium">
        <color auto="1"/>
      </top>
      <bottom style="thin">
        <color auto="1"/>
      </bottom>
      <diagonal style="thin">
        <color auto="1"/>
      </diagonal>
    </border>
    <border>
      <left style="thin">
        <color auto="1"/>
      </left>
      <right style="thick">
        <color theme="2" tint="-0.499984740745262"/>
      </right>
      <top style="thin">
        <color auto="1"/>
      </top>
      <bottom style="thin">
        <color auto="1"/>
      </bottom>
      <diagonal/>
    </border>
    <border>
      <left style="medium">
        <color auto="1"/>
      </left>
      <right/>
      <top style="thin">
        <color auto="1"/>
      </top>
      <bottom style="medium">
        <color auto="1"/>
      </bottom>
      <diagonal/>
    </border>
    <border>
      <left style="thin">
        <color auto="1"/>
      </left>
      <right style="thin">
        <color auto="1"/>
      </right>
      <top style="medium">
        <color auto="1"/>
      </top>
      <bottom/>
      <diagonal/>
    </border>
  </borders>
  <cellStyleXfs count="1">
    <xf numFmtId="0" fontId="0" fillId="0" borderId="0">
      <alignment vertical="center"/>
    </xf>
  </cellStyleXfs>
  <cellXfs count="1380">
    <xf numFmtId="0" fontId="0" fillId="0" borderId="0" xfId="0">
      <alignment vertical="center"/>
    </xf>
    <xf numFmtId="0" fontId="0" fillId="0" borderId="0" xfId="0" applyAlignment="1">
      <alignment vertical="center" shrinkToFit="1"/>
    </xf>
    <xf numFmtId="0" fontId="0" fillId="0" borderId="0" xfId="0" applyBorder="1">
      <alignment vertical="center"/>
    </xf>
    <xf numFmtId="0" fontId="0" fillId="0" borderId="6" xfId="0" applyBorder="1">
      <alignment vertical="center"/>
    </xf>
    <xf numFmtId="0" fontId="0" fillId="0" borderId="7" xfId="0" applyBorder="1">
      <alignment vertical="center"/>
    </xf>
    <xf numFmtId="0" fontId="0" fillId="0" borderId="8" xfId="0" applyBorder="1" applyAlignment="1">
      <alignment horizontal="center" vertical="center" shrinkToFit="1"/>
    </xf>
    <xf numFmtId="0" fontId="0" fillId="0" borderId="9" xfId="0" applyBorder="1">
      <alignment vertical="center"/>
    </xf>
    <xf numFmtId="0" fontId="0" fillId="0" borderId="0" xfId="0" applyBorder="1" applyAlignment="1">
      <alignment vertical="center" shrinkToFit="1"/>
    </xf>
    <xf numFmtId="0" fontId="0" fillId="0" borderId="0" xfId="0" applyBorder="1" applyAlignment="1">
      <alignment horizontal="center" vertical="center" shrinkToFit="1"/>
    </xf>
    <xf numFmtId="0" fontId="3" fillId="0" borderId="0" xfId="0" applyFont="1" applyBorder="1" applyAlignment="1">
      <alignment horizontal="center" vertical="center" shrinkToFit="1"/>
    </xf>
    <xf numFmtId="0" fontId="6" fillId="0" borderId="9" xfId="0" applyFont="1" applyBorder="1" applyAlignment="1">
      <alignment horizontal="center" vertical="center" shrinkToFit="1"/>
    </xf>
    <xf numFmtId="0" fontId="0" fillId="0" borderId="8" xfId="0" applyBorder="1" applyAlignment="1">
      <alignment vertical="center" shrinkToFit="1"/>
    </xf>
    <xf numFmtId="0" fontId="0" fillId="0" borderId="10" xfId="0" applyBorder="1" applyAlignment="1">
      <alignment vertical="center" shrinkToFit="1"/>
    </xf>
    <xf numFmtId="0" fontId="0" fillId="0" borderId="11" xfId="0" applyBorder="1" applyAlignment="1">
      <alignment vertical="center" shrinkToFit="1"/>
    </xf>
    <xf numFmtId="0" fontId="0" fillId="0" borderId="11" xfId="0" applyBorder="1">
      <alignment vertical="center"/>
    </xf>
    <xf numFmtId="0" fontId="0" fillId="0" borderId="12" xfId="0" applyBorder="1">
      <alignment vertical="center"/>
    </xf>
    <xf numFmtId="0" fontId="0" fillId="3" borderId="0" xfId="0" applyFill="1" applyBorder="1">
      <alignment vertical="center"/>
    </xf>
    <xf numFmtId="0" fontId="3" fillId="0" borderId="0" xfId="0" applyFont="1" applyFill="1" applyBorder="1">
      <alignment vertical="center"/>
    </xf>
    <xf numFmtId="0" fontId="0" fillId="0" borderId="0" xfId="0" applyBorder="1" applyAlignment="1">
      <alignment horizontal="right" vertical="center"/>
    </xf>
    <xf numFmtId="0" fontId="6" fillId="0" borderId="0" xfId="0" applyFont="1" applyBorder="1">
      <alignment vertical="center"/>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0" fillId="0" borderId="11" xfId="0" applyBorder="1" applyAlignment="1">
      <alignment horizontal="center" vertical="center"/>
    </xf>
    <xf numFmtId="0" fontId="0" fillId="0" borderId="0" xfId="0" applyBorder="1" applyAlignment="1">
      <alignment vertical="center"/>
    </xf>
    <xf numFmtId="0" fontId="3" fillId="0" borderId="6" xfId="0" applyFont="1" applyBorder="1" applyAlignment="1">
      <alignment horizontal="center" vertical="center"/>
    </xf>
    <xf numFmtId="0" fontId="9" fillId="0" borderId="0" xfId="0" applyFont="1" applyAlignment="1">
      <alignment horizontal="center" vertical="center"/>
    </xf>
    <xf numFmtId="0" fontId="6" fillId="0" borderId="7" xfId="0" applyFont="1" applyBorder="1" applyAlignment="1">
      <alignment horizontal="center" vertical="center" shrinkToFit="1"/>
    </xf>
    <xf numFmtId="0" fontId="3" fillId="0" borderId="0" xfId="0" applyFont="1" applyAlignment="1">
      <alignment horizontal="center" vertical="center" shrinkToFit="1"/>
    </xf>
    <xf numFmtId="0" fontId="9" fillId="0" borderId="0" xfId="0" applyFont="1" applyBorder="1" applyAlignment="1">
      <alignment horizontal="center" vertical="center"/>
    </xf>
    <xf numFmtId="0" fontId="0" fillId="0" borderId="0" xfId="0" applyAlignment="1">
      <alignment horizontal="center" vertical="center"/>
    </xf>
    <xf numFmtId="0" fontId="13" fillId="0" borderId="0" xfId="0" applyFont="1">
      <alignment vertical="center"/>
    </xf>
    <xf numFmtId="0" fontId="15" fillId="0" borderId="9" xfId="0" applyFont="1" applyBorder="1" applyAlignment="1">
      <alignment horizontal="center" vertical="center" shrinkToFit="1"/>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shrinkToFit="1"/>
    </xf>
    <xf numFmtId="0" fontId="15" fillId="0" borderId="9" xfId="0" applyFont="1" applyBorder="1">
      <alignment vertical="center"/>
    </xf>
    <xf numFmtId="0" fontId="15" fillId="0" borderId="0" xfId="0" applyFont="1" applyFill="1" applyBorder="1">
      <alignment vertical="center"/>
    </xf>
    <xf numFmtId="0" fontId="15" fillId="0" borderId="8" xfId="0" applyFont="1" applyBorder="1" applyAlignment="1">
      <alignment horizontal="center" vertical="center" shrinkToFit="1"/>
    </xf>
    <xf numFmtId="0" fontId="16" fillId="0" borderId="0" xfId="0" applyFont="1" applyAlignment="1">
      <alignment vertical="center" shrinkToFit="1"/>
    </xf>
    <xf numFmtId="177" fontId="0" fillId="0" borderId="0" xfId="0" applyNumberFormat="1" applyBorder="1">
      <alignment vertical="center"/>
    </xf>
    <xf numFmtId="0" fontId="0" fillId="0" borderId="0" xfId="0" applyFill="1" applyBorder="1">
      <alignment vertical="center"/>
    </xf>
    <xf numFmtId="0" fontId="2" fillId="0" borderId="0" xfId="0" applyFont="1" applyFill="1" applyBorder="1" applyAlignment="1">
      <alignment vertical="center"/>
    </xf>
    <xf numFmtId="0" fontId="15" fillId="0" borderId="0" xfId="0" applyFont="1">
      <alignment vertical="center"/>
    </xf>
    <xf numFmtId="0" fontId="0" fillId="0" borderId="8" xfId="0" applyBorder="1">
      <alignment vertical="center"/>
    </xf>
    <xf numFmtId="0" fontId="19" fillId="0" borderId="0" xfId="0" applyFont="1" applyBorder="1">
      <alignment vertical="center"/>
    </xf>
    <xf numFmtId="0" fontId="20" fillId="0" borderId="0" xfId="0" applyFont="1" applyBorder="1" applyAlignment="1" applyProtection="1">
      <alignment horizontal="right"/>
    </xf>
    <xf numFmtId="0" fontId="15" fillId="0" borderId="0" xfId="0" applyFont="1" applyAlignment="1">
      <alignment horizontal="center" vertical="center"/>
    </xf>
    <xf numFmtId="0" fontId="15" fillId="0" borderId="0" xfId="0" applyFont="1" applyBorder="1" applyAlignment="1">
      <alignment horizontal="left" vertical="center" shrinkToFit="1"/>
    </xf>
    <xf numFmtId="0" fontId="23" fillId="0" borderId="0" xfId="0" applyFont="1" applyBorder="1" applyAlignment="1">
      <alignment horizontal="center" vertical="center" shrinkToFit="1"/>
    </xf>
    <xf numFmtId="0" fontId="23" fillId="0" borderId="0" xfId="0" applyFont="1" applyBorder="1" applyAlignment="1">
      <alignment horizontal="center" vertical="center"/>
    </xf>
    <xf numFmtId="0" fontId="0" fillId="0" borderId="0" xfId="0" applyAlignment="1">
      <alignment horizontal="center" vertical="center" shrinkToFit="1"/>
    </xf>
    <xf numFmtId="0" fontId="15" fillId="0" borderId="9" xfId="0" applyFont="1" applyBorder="1" applyAlignment="1">
      <alignment horizontal="center" vertical="center"/>
    </xf>
    <xf numFmtId="0" fontId="15" fillId="0" borderId="0" xfId="0" applyFont="1" applyBorder="1" applyAlignment="1">
      <alignment horizontal="center" vertical="center"/>
    </xf>
    <xf numFmtId="0" fontId="9" fillId="0" borderId="0" xfId="0" applyFont="1">
      <alignment vertical="center"/>
    </xf>
    <xf numFmtId="0" fontId="15" fillId="0" borderId="40" xfId="0" applyFont="1" applyFill="1" applyBorder="1" applyAlignment="1">
      <alignment horizontal="center" vertical="center" shrinkToFit="1"/>
    </xf>
    <xf numFmtId="0" fontId="15" fillId="0" borderId="39" xfId="0" applyFont="1" applyBorder="1" applyAlignment="1">
      <alignment horizontal="center" vertical="center"/>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6" fillId="0" borderId="51" xfId="0" applyFont="1" applyBorder="1" applyAlignment="1">
      <alignment horizontal="center" vertical="center" shrinkToFit="1"/>
    </xf>
    <xf numFmtId="0" fontId="9" fillId="0" borderId="48" xfId="0" applyFont="1" applyBorder="1" applyAlignment="1">
      <alignment horizontal="center" vertical="center" shrinkToFit="1"/>
    </xf>
    <xf numFmtId="0" fontId="9" fillId="0" borderId="31" xfId="0" applyFont="1" applyBorder="1" applyAlignment="1">
      <alignment horizontal="center" vertical="center" shrinkToFit="1"/>
    </xf>
    <xf numFmtId="0" fontId="15" fillId="0" borderId="0" xfId="0" applyFont="1" applyBorder="1" applyAlignment="1">
      <alignment horizontal="right" vertical="center" shrinkToFit="1"/>
    </xf>
    <xf numFmtId="192" fontId="15" fillId="0" borderId="0" xfId="0" applyNumberFormat="1" applyFont="1" applyBorder="1" applyAlignment="1">
      <alignment horizontal="center" vertical="center"/>
    </xf>
    <xf numFmtId="0" fontId="4" fillId="0" borderId="53" xfId="0" applyFont="1" applyBorder="1" applyAlignment="1">
      <alignment horizontal="center" vertical="center" shrinkToFit="1"/>
    </xf>
    <xf numFmtId="0" fontId="16" fillId="0" borderId="30" xfId="0" applyFont="1" applyFill="1" applyBorder="1" applyAlignment="1">
      <alignment horizontal="center" vertical="center" shrinkToFit="1"/>
    </xf>
    <xf numFmtId="0" fontId="4" fillId="0" borderId="0" xfId="0" applyFont="1" applyBorder="1" applyAlignment="1">
      <alignment horizontal="center" vertical="center" shrinkToFit="1"/>
    </xf>
    <xf numFmtId="0" fontId="9" fillId="0" borderId="33" xfId="0" applyFont="1" applyBorder="1" applyAlignment="1">
      <alignment horizontal="center" vertical="center" shrinkToFit="1"/>
    </xf>
    <xf numFmtId="0" fontId="16" fillId="0" borderId="0" xfId="0" applyFont="1" applyBorder="1" applyAlignment="1">
      <alignment vertical="center" shrinkToFit="1"/>
    </xf>
    <xf numFmtId="0" fontId="9" fillId="0" borderId="0" xfId="0" applyFont="1" applyBorder="1">
      <alignment vertical="center"/>
    </xf>
    <xf numFmtId="0" fontId="15" fillId="0" borderId="14" xfId="0" applyFont="1" applyBorder="1" applyAlignment="1">
      <alignment horizontal="center" vertical="center" shrinkToFit="1"/>
    </xf>
    <xf numFmtId="0" fontId="9" fillId="0" borderId="59" xfId="0" applyFont="1" applyBorder="1">
      <alignment vertical="center"/>
    </xf>
    <xf numFmtId="0" fontId="0" fillId="0" borderId="0" xfId="0" applyBorder="1" applyAlignment="1">
      <alignment horizontal="center" vertical="center" wrapText="1"/>
    </xf>
    <xf numFmtId="0" fontId="11" fillId="0" borderId="0" xfId="0" applyFont="1" applyBorder="1" applyAlignment="1">
      <alignment horizontal="center" vertical="center"/>
    </xf>
    <xf numFmtId="0" fontId="18" fillId="0" borderId="0" xfId="0" applyFont="1" applyBorder="1" applyAlignment="1">
      <alignment horizontal="center" vertical="center" wrapText="1"/>
    </xf>
    <xf numFmtId="0" fontId="6" fillId="0" borderId="0"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0" xfId="0" applyFont="1" applyAlignment="1">
      <alignment horizontal="center" vertical="center" shrinkToFit="1"/>
    </xf>
    <xf numFmtId="0" fontId="6" fillId="0" borderId="0" xfId="0" applyFont="1" applyBorder="1" applyAlignment="1">
      <alignment horizontal="center" vertical="center" shrinkToFit="1"/>
    </xf>
    <xf numFmtId="0" fontId="15" fillId="0" borderId="0" xfId="0" applyFont="1" applyBorder="1">
      <alignment vertical="center"/>
    </xf>
    <xf numFmtId="0" fontId="6" fillId="0" borderId="6" xfId="0" applyFont="1" applyBorder="1">
      <alignment vertical="center"/>
    </xf>
    <xf numFmtId="0" fontId="6" fillId="0" borderId="8" xfId="0" applyFont="1" applyBorder="1" applyAlignment="1">
      <alignment horizontal="center" vertical="center" shrinkToFit="1"/>
    </xf>
    <xf numFmtId="0" fontId="6" fillId="0" borderId="0" xfId="0" applyFont="1" applyBorder="1" applyAlignment="1">
      <alignment horizontal="center" vertical="center"/>
    </xf>
    <xf numFmtId="0" fontId="6" fillId="0" borderId="0" xfId="0" applyFont="1" applyBorder="1" applyAlignment="1">
      <alignment vertical="center" shrinkToFit="1"/>
    </xf>
    <xf numFmtId="0" fontId="6" fillId="0" borderId="11" xfId="0" applyFont="1" applyFill="1" applyBorder="1" applyAlignment="1">
      <alignment horizontal="center" vertical="center" shrinkToFit="1"/>
    </xf>
    <xf numFmtId="0" fontId="6" fillId="0" borderId="11" xfId="0" applyFont="1" applyBorder="1">
      <alignment vertical="center"/>
    </xf>
    <xf numFmtId="0" fontId="15" fillId="0" borderId="0" xfId="0" applyFont="1" applyBorder="1" applyAlignment="1">
      <alignment vertical="center" shrinkToFit="1"/>
    </xf>
    <xf numFmtId="180" fontId="15" fillId="0" borderId="0" xfId="0" applyNumberFormat="1" applyFont="1" applyBorder="1">
      <alignment vertical="center"/>
    </xf>
    <xf numFmtId="181" fontId="15" fillId="0" borderId="9" xfId="0" applyNumberFormat="1" applyFont="1" applyBorder="1">
      <alignment vertical="center"/>
    </xf>
    <xf numFmtId="177" fontId="11" fillId="0" borderId="0" xfId="0" applyNumberFormat="1" applyFont="1" applyBorder="1" applyAlignment="1">
      <alignment horizontal="center" vertical="center"/>
    </xf>
    <xf numFmtId="177" fontId="6" fillId="0" borderId="0" xfId="0" applyNumberFormat="1" applyFont="1" applyFill="1" applyBorder="1">
      <alignment vertical="center"/>
    </xf>
    <xf numFmtId="0" fontId="6" fillId="0" borderId="9" xfId="0" applyFont="1" applyBorder="1">
      <alignment vertical="center"/>
    </xf>
    <xf numFmtId="0" fontId="6" fillId="0" borderId="0" xfId="0" applyFont="1" applyFill="1" applyBorder="1">
      <alignment vertical="center"/>
    </xf>
    <xf numFmtId="177" fontId="6" fillId="0" borderId="0" xfId="0" applyNumberFormat="1" applyFont="1" applyBorder="1" applyAlignment="1">
      <alignment horizontal="center" vertical="center"/>
    </xf>
    <xf numFmtId="0" fontId="6" fillId="0" borderId="0" xfId="0" applyFont="1">
      <alignment vertical="center"/>
    </xf>
    <xf numFmtId="0" fontId="6" fillId="0" borderId="0" xfId="0" applyFont="1" applyBorder="1" applyAlignment="1">
      <alignment horizontal="right" vertical="center"/>
    </xf>
    <xf numFmtId="176" fontId="6" fillId="0" borderId="0" xfId="0" applyNumberFormat="1" applyFont="1">
      <alignment vertical="center"/>
    </xf>
    <xf numFmtId="0" fontId="6" fillId="0" borderId="9" xfId="0" applyFont="1" applyBorder="1" applyAlignment="1">
      <alignment vertical="center" shrinkToFit="1"/>
    </xf>
    <xf numFmtId="0" fontId="6" fillId="0" borderId="0" xfId="0" applyFont="1" applyAlignment="1">
      <alignment vertical="center" shrinkToFit="1"/>
    </xf>
    <xf numFmtId="0" fontId="6" fillId="0" borderId="0" xfId="0" applyFont="1" applyAlignment="1">
      <alignment horizontal="right" vertical="center"/>
    </xf>
    <xf numFmtId="0" fontId="15" fillId="0" borderId="29" xfId="0" applyFont="1" applyBorder="1">
      <alignment vertical="center"/>
    </xf>
    <xf numFmtId="190" fontId="15" fillId="0" borderId="0" xfId="0" applyNumberFormat="1" applyFont="1" applyBorder="1" applyAlignment="1">
      <alignment horizontal="left" vertical="center"/>
    </xf>
    <xf numFmtId="190" fontId="15" fillId="0" borderId="0" xfId="0" applyNumberFormat="1" applyFont="1" applyBorder="1">
      <alignment vertical="center"/>
    </xf>
    <xf numFmtId="0" fontId="6" fillId="0" borderId="7" xfId="0" applyFont="1" applyBorder="1">
      <alignment vertical="center"/>
    </xf>
    <xf numFmtId="0" fontId="6" fillId="0" borderId="0" xfId="0" applyFont="1" applyFill="1" applyBorder="1" applyAlignment="1">
      <alignment horizontal="center" vertical="center"/>
    </xf>
    <xf numFmtId="0" fontId="6" fillId="0" borderId="8" xfId="0" applyFont="1" applyBorder="1" applyAlignment="1">
      <alignment vertical="center" shrinkToFit="1"/>
    </xf>
    <xf numFmtId="180" fontId="6" fillId="0" borderId="0" xfId="0" applyNumberFormat="1" applyFont="1" applyBorder="1">
      <alignment vertical="center"/>
    </xf>
    <xf numFmtId="185" fontId="6" fillId="0" borderId="0" xfId="0" applyNumberFormat="1" applyFont="1" applyBorder="1">
      <alignment vertical="center"/>
    </xf>
    <xf numFmtId="185" fontId="6" fillId="0" borderId="16" xfId="0" applyNumberFormat="1" applyFont="1" applyBorder="1">
      <alignment vertical="center"/>
    </xf>
    <xf numFmtId="185" fontId="6" fillId="0" borderId="0" xfId="0" applyNumberFormat="1" applyFont="1">
      <alignment vertical="center"/>
    </xf>
    <xf numFmtId="0" fontId="6" fillId="0" borderId="14" xfId="0" applyFont="1" applyBorder="1" applyAlignment="1">
      <alignment horizontal="center" vertical="center" shrinkToFit="1"/>
    </xf>
    <xf numFmtId="0" fontId="6" fillId="0" borderId="0" xfId="0" applyFont="1" applyFill="1" applyBorder="1" applyAlignment="1">
      <alignment vertical="center" shrinkToFit="1"/>
    </xf>
    <xf numFmtId="180" fontId="6" fillId="0" borderId="15" xfId="0" applyNumberFormat="1" applyFont="1" applyBorder="1">
      <alignment vertical="center"/>
    </xf>
    <xf numFmtId="185" fontId="6" fillId="0" borderId="15" xfId="0" applyNumberFormat="1" applyFont="1" applyBorder="1">
      <alignment vertical="center"/>
    </xf>
    <xf numFmtId="185" fontId="6" fillId="0" borderId="17" xfId="0" applyNumberFormat="1" applyFont="1" applyBorder="1">
      <alignment vertical="center"/>
    </xf>
    <xf numFmtId="181" fontId="6" fillId="0" borderId="0" xfId="0" applyNumberFormat="1" applyFont="1" applyBorder="1">
      <alignment vertical="center"/>
    </xf>
    <xf numFmtId="0" fontId="6" fillId="0" borderId="0" xfId="0" applyFont="1" applyAlignment="1">
      <alignment horizontal="center" vertical="center"/>
    </xf>
    <xf numFmtId="177" fontId="15" fillId="0" borderId="18" xfId="0" applyNumberFormat="1" applyFont="1" applyFill="1" applyBorder="1" applyAlignment="1">
      <alignment horizontal="center" vertical="center" shrinkToFit="1"/>
    </xf>
    <xf numFmtId="0" fontId="6" fillId="0" borderId="6" xfId="0" applyFont="1" applyBorder="1" applyAlignment="1">
      <alignment horizontal="center" vertical="center"/>
    </xf>
    <xf numFmtId="0" fontId="6" fillId="0" borderId="0" xfId="0" applyFont="1" applyBorder="1" applyAlignment="1">
      <alignment horizontal="right" vertical="center" shrinkToFit="1"/>
    </xf>
    <xf numFmtId="178" fontId="6" fillId="0" borderId="0" xfId="0" applyNumberFormat="1" applyFont="1" applyBorder="1">
      <alignment vertical="center"/>
    </xf>
    <xf numFmtId="187" fontId="6" fillId="0" borderId="0" xfId="0" applyNumberFormat="1" applyFont="1" applyBorder="1">
      <alignment vertical="center"/>
    </xf>
    <xf numFmtId="188" fontId="6" fillId="0" borderId="0" xfId="0" applyNumberFormat="1" applyFont="1" applyBorder="1">
      <alignment vertical="center"/>
    </xf>
    <xf numFmtId="0" fontId="6" fillId="0" borderId="10" xfId="0" applyFont="1" applyBorder="1" applyAlignment="1">
      <alignment vertical="center" shrinkToFit="1"/>
    </xf>
    <xf numFmtId="0" fontId="6" fillId="0" borderId="11" xfId="0" applyFont="1" applyBorder="1" applyAlignment="1">
      <alignment vertical="center" shrinkToFit="1"/>
    </xf>
    <xf numFmtId="186" fontId="6" fillId="0" borderId="0" xfId="0" applyNumberFormat="1" applyFont="1" applyBorder="1">
      <alignment vertical="center"/>
    </xf>
    <xf numFmtId="11" fontId="6" fillId="0" borderId="0" xfId="0" applyNumberFormat="1" applyFont="1">
      <alignment vertical="center"/>
    </xf>
    <xf numFmtId="177" fontId="6" fillId="0" borderId="0" xfId="0" applyNumberFormat="1" applyFont="1">
      <alignment vertical="center"/>
    </xf>
    <xf numFmtId="0" fontId="6" fillId="0" borderId="0" xfId="0" applyFont="1" applyAlignment="1">
      <alignment horizontal="right" vertical="center" shrinkToFit="1"/>
    </xf>
    <xf numFmtId="0" fontId="6" fillId="0" borderId="6" xfId="0" applyFont="1" applyBorder="1" applyAlignment="1">
      <alignment vertical="center"/>
    </xf>
    <xf numFmtId="0" fontId="6" fillId="0" borderId="19" xfId="0" applyFont="1" applyBorder="1" applyAlignment="1">
      <alignment horizontal="center" vertical="center"/>
    </xf>
    <xf numFmtId="0" fontId="15" fillId="0" borderId="0" xfId="0" applyFont="1" applyBorder="1" applyAlignment="1">
      <alignment vertical="center"/>
    </xf>
    <xf numFmtId="176" fontId="6" fillId="0" borderId="0" xfId="0" applyNumberFormat="1" applyFont="1" applyFill="1" applyAlignment="1">
      <alignment horizontal="center" vertical="center" shrinkToFit="1"/>
    </xf>
    <xf numFmtId="0" fontId="6" fillId="0" borderId="0" xfId="0" applyFont="1" applyFill="1" applyAlignment="1">
      <alignment horizontal="center" vertical="center" shrinkToFit="1"/>
    </xf>
    <xf numFmtId="177" fontId="6" fillId="0" borderId="18" xfId="0" applyNumberFormat="1" applyFont="1" applyFill="1" applyBorder="1" applyAlignment="1">
      <alignment horizontal="center" vertical="center" shrinkToFit="1"/>
    </xf>
    <xf numFmtId="0" fontId="6" fillId="0" borderId="11" xfId="0" applyFont="1" applyBorder="1" applyAlignment="1">
      <alignment horizontal="center" vertical="center"/>
    </xf>
    <xf numFmtId="0" fontId="6" fillId="0" borderId="11" xfId="0" applyFont="1" applyBorder="1" applyAlignment="1">
      <alignment horizontal="center" vertical="center" shrinkToFit="1"/>
    </xf>
    <xf numFmtId="0" fontId="6" fillId="0" borderId="11" xfId="0" applyFont="1" applyBorder="1" applyAlignment="1">
      <alignment horizontal="right" vertical="center"/>
    </xf>
    <xf numFmtId="0" fontId="6" fillId="0" borderId="12" xfId="0" applyFont="1" applyBorder="1" applyAlignment="1">
      <alignment horizontal="center" vertical="center"/>
    </xf>
    <xf numFmtId="179" fontId="6" fillId="0" borderId="0" xfId="0" applyNumberFormat="1" applyFont="1" applyBorder="1">
      <alignment vertical="center"/>
    </xf>
    <xf numFmtId="176" fontId="6" fillId="0" borderId="0" xfId="0" applyNumberFormat="1" applyFont="1" applyBorder="1">
      <alignment vertical="center"/>
    </xf>
    <xf numFmtId="176" fontId="6" fillId="0" borderId="16" xfId="0" applyNumberFormat="1" applyFont="1" applyBorder="1">
      <alignment vertical="center"/>
    </xf>
    <xf numFmtId="176" fontId="6" fillId="0" borderId="15" xfId="0" applyNumberFormat="1" applyFont="1" applyBorder="1">
      <alignment vertical="center"/>
    </xf>
    <xf numFmtId="176" fontId="6" fillId="0" borderId="17" xfId="0" applyNumberFormat="1" applyFont="1" applyBorder="1">
      <alignment vertical="center"/>
    </xf>
    <xf numFmtId="180" fontId="6" fillId="0" borderId="0" xfId="0" applyNumberFormat="1" applyFont="1" applyFill="1" applyBorder="1" applyAlignment="1">
      <alignment vertical="center" shrinkToFit="1"/>
    </xf>
    <xf numFmtId="182" fontId="6" fillId="0" borderId="0" xfId="0" applyNumberFormat="1" applyFont="1" applyFill="1" applyBorder="1" applyAlignment="1">
      <alignment vertical="center" shrinkToFit="1"/>
    </xf>
    <xf numFmtId="0" fontId="6" fillId="0" borderId="30" xfId="0" applyFont="1" applyBorder="1" applyAlignment="1">
      <alignment vertical="center" shrinkToFit="1"/>
    </xf>
    <xf numFmtId="180" fontId="6" fillId="0" borderId="31" xfId="0" applyNumberFormat="1" applyFont="1" applyBorder="1">
      <alignment vertical="center"/>
    </xf>
    <xf numFmtId="181" fontId="6" fillId="0" borderId="31" xfId="0" applyNumberFormat="1" applyFont="1" applyBorder="1">
      <alignment vertical="center"/>
    </xf>
    <xf numFmtId="0" fontId="6" fillId="0" borderId="31" xfId="0" applyFont="1" applyBorder="1">
      <alignment vertical="center"/>
    </xf>
    <xf numFmtId="0" fontId="6" fillId="0" borderId="32" xfId="0" applyFont="1" applyBorder="1">
      <alignment vertical="center"/>
    </xf>
    <xf numFmtId="182" fontId="6" fillId="0" borderId="0" xfId="0" applyNumberFormat="1" applyFont="1" applyFill="1" applyBorder="1">
      <alignment vertical="center"/>
    </xf>
    <xf numFmtId="0" fontId="6" fillId="0" borderId="30" xfId="0" applyFont="1" applyBorder="1" applyAlignment="1">
      <alignment horizontal="center" vertical="center" shrinkToFit="1"/>
    </xf>
    <xf numFmtId="0" fontId="6" fillId="0" borderId="12" xfId="0" applyFont="1" applyBorder="1">
      <alignment vertical="center"/>
    </xf>
    <xf numFmtId="0" fontId="6" fillId="0" borderId="0" xfId="0" applyFont="1" applyFill="1" applyBorder="1" applyAlignment="1">
      <alignment horizontal="center" vertical="center" shrinkToFit="1"/>
    </xf>
    <xf numFmtId="0" fontId="6" fillId="0" borderId="0" xfId="0" applyFont="1" applyFill="1" applyBorder="1" applyAlignment="1">
      <alignment vertical="center"/>
    </xf>
    <xf numFmtId="192" fontId="6" fillId="0" borderId="0" xfId="0" applyNumberFormat="1" applyFont="1" applyFill="1" applyBorder="1" applyAlignment="1">
      <alignment horizontal="center" vertical="center" shrinkToFit="1"/>
    </xf>
    <xf numFmtId="0" fontId="6" fillId="0" borderId="0" xfId="0" applyFont="1" applyBorder="1" applyAlignment="1">
      <alignment horizontal="left" vertical="center"/>
    </xf>
    <xf numFmtId="192" fontId="6" fillId="0" borderId="0" xfId="0" applyNumberFormat="1" applyFont="1" applyBorder="1">
      <alignment vertical="center"/>
    </xf>
    <xf numFmtId="2" fontId="6" fillId="0" borderId="0" xfId="0" applyNumberFormat="1" applyFont="1" applyBorder="1">
      <alignment vertical="center"/>
    </xf>
    <xf numFmtId="177" fontId="6" fillId="0" borderId="0" xfId="0" applyNumberFormat="1" applyFont="1" applyBorder="1" applyAlignment="1">
      <alignment horizontal="center" vertical="center" shrinkToFit="1"/>
    </xf>
    <xf numFmtId="177" fontId="6" fillId="0" borderId="0" xfId="0" applyNumberFormat="1" applyFont="1" applyBorder="1">
      <alignment vertical="center"/>
    </xf>
    <xf numFmtId="193" fontId="6" fillId="0" borderId="0" xfId="0" applyNumberFormat="1" applyFont="1">
      <alignment vertical="center"/>
    </xf>
    <xf numFmtId="2" fontId="6" fillId="0" borderId="0" xfId="0" applyNumberFormat="1" applyFont="1">
      <alignment vertical="center"/>
    </xf>
    <xf numFmtId="194" fontId="6" fillId="0" borderId="0" xfId="0" applyNumberFormat="1" applyFont="1">
      <alignment vertical="center"/>
    </xf>
    <xf numFmtId="11" fontId="6" fillId="0" borderId="0" xfId="0" applyNumberFormat="1" applyFont="1" applyBorder="1">
      <alignment vertical="center"/>
    </xf>
    <xf numFmtId="189" fontId="6" fillId="0" borderId="0" xfId="0" applyNumberFormat="1" applyFont="1">
      <alignment vertical="center"/>
    </xf>
    <xf numFmtId="195" fontId="6" fillId="0" borderId="0" xfId="0" applyNumberFormat="1" applyFont="1">
      <alignment vertical="center"/>
    </xf>
    <xf numFmtId="0" fontId="15" fillId="0" borderId="0" xfId="0" applyFont="1" applyAlignment="1">
      <alignment horizontal="center" vertical="center" shrinkToFit="1"/>
    </xf>
    <xf numFmtId="0" fontId="6" fillId="0" borderId="6" xfId="0" applyFont="1" applyBorder="1" applyAlignment="1">
      <alignment horizontal="center" vertical="center"/>
    </xf>
    <xf numFmtId="0" fontId="6" fillId="0" borderId="6" xfId="0" applyFont="1" applyBorder="1" applyAlignment="1">
      <alignment horizontal="center" vertical="center" shrinkToFit="1"/>
    </xf>
    <xf numFmtId="0" fontId="6" fillId="0" borderId="0" xfId="0" applyFont="1" applyAlignment="1">
      <alignment horizontal="center" vertical="center" shrinkToFit="1"/>
    </xf>
    <xf numFmtId="0" fontId="6" fillId="0" borderId="0" xfId="0" applyFont="1" applyBorder="1" applyAlignment="1">
      <alignment horizontal="center" vertical="center" shrinkToFit="1"/>
    </xf>
    <xf numFmtId="0" fontId="15" fillId="0" borderId="0" xfId="0" applyFont="1" applyAlignment="1">
      <alignment horizontal="center" vertical="center" shrinkToFit="1"/>
    </xf>
    <xf numFmtId="0" fontId="15" fillId="0" borderId="0" xfId="0" applyFont="1" applyBorder="1" applyAlignment="1">
      <alignment horizontal="center" vertical="center" shrinkToFit="1"/>
    </xf>
    <xf numFmtId="0" fontId="6" fillId="0" borderId="14" xfId="0" applyFont="1" applyBorder="1" applyAlignment="1">
      <alignment horizontal="right" vertical="center"/>
    </xf>
    <xf numFmtId="0" fontId="6" fillId="0" borderId="14" xfId="0" applyFont="1" applyBorder="1" applyAlignment="1">
      <alignment horizontal="right" vertical="center" shrinkToFit="1"/>
    </xf>
    <xf numFmtId="0" fontId="6" fillId="0" borderId="63" xfId="0" applyFont="1" applyBorder="1" applyAlignment="1">
      <alignment horizontal="center" vertical="center"/>
    </xf>
    <xf numFmtId="176" fontId="6" fillId="0" borderId="0" xfId="0" applyNumberFormat="1" applyFont="1" applyFill="1" applyBorder="1" applyAlignment="1">
      <alignment vertical="center" shrinkToFit="1"/>
    </xf>
    <xf numFmtId="0" fontId="6" fillId="0" borderId="0" xfId="0" applyFont="1" applyAlignment="1">
      <alignment horizontal="left" vertical="center" shrinkToFit="1"/>
    </xf>
    <xf numFmtId="196" fontId="6" fillId="0" borderId="0" xfId="0" applyNumberFormat="1" applyFont="1">
      <alignment vertical="center"/>
    </xf>
    <xf numFmtId="0" fontId="15" fillId="0" borderId="13" xfId="0" applyFont="1" applyBorder="1" applyAlignment="1">
      <alignment horizontal="center" vertical="center" shrinkToFit="1"/>
    </xf>
    <xf numFmtId="0" fontId="15" fillId="0" borderId="6" xfId="0" applyFont="1" applyBorder="1">
      <alignment vertical="center"/>
    </xf>
    <xf numFmtId="176" fontId="11" fillId="0" borderId="0" xfId="0" applyNumberFormat="1" applyFont="1" applyBorder="1" applyAlignment="1">
      <alignment horizontal="center" vertical="center"/>
    </xf>
    <xf numFmtId="0" fontId="15" fillId="0" borderId="0" xfId="0" applyFont="1" applyAlignment="1">
      <alignment vertical="center" shrinkToFit="1"/>
    </xf>
    <xf numFmtId="177" fontId="15" fillId="0" borderId="0" xfId="0" applyNumberFormat="1" applyFont="1" applyFill="1" applyBorder="1">
      <alignment vertical="center"/>
    </xf>
    <xf numFmtId="0" fontId="15" fillId="0" borderId="8" xfId="0" applyFont="1" applyBorder="1" applyAlignment="1">
      <alignment vertical="center" shrinkToFit="1"/>
    </xf>
    <xf numFmtId="177" fontId="15" fillId="0" borderId="0" xfId="0" applyNumberFormat="1" applyFont="1" applyBorder="1" applyAlignment="1">
      <alignment horizontal="center" vertical="center"/>
    </xf>
    <xf numFmtId="183" fontId="15" fillId="0" borderId="0" xfId="0" applyNumberFormat="1" applyFont="1" applyBorder="1" applyAlignment="1">
      <alignment horizontal="left" vertical="center"/>
    </xf>
    <xf numFmtId="0" fontId="15" fillId="0" borderId="0" xfId="0" quotePrefix="1" applyFont="1" applyBorder="1">
      <alignment vertical="center"/>
    </xf>
    <xf numFmtId="0" fontId="11" fillId="0" borderId="8" xfId="0" applyFont="1" applyBorder="1" applyAlignment="1">
      <alignment vertical="center" shrinkToFit="1"/>
    </xf>
    <xf numFmtId="0" fontId="15" fillId="0" borderId="10" xfId="0" applyFont="1" applyBorder="1" applyAlignment="1">
      <alignment vertical="center" shrinkToFit="1"/>
    </xf>
    <xf numFmtId="0" fontId="15" fillId="0" borderId="11" xfId="0" applyFont="1" applyBorder="1" applyAlignment="1">
      <alignment vertical="center" shrinkToFit="1"/>
    </xf>
    <xf numFmtId="0" fontId="15" fillId="0" borderId="11" xfId="0" applyFont="1" applyBorder="1">
      <alignment vertical="center"/>
    </xf>
    <xf numFmtId="0" fontId="15" fillId="0" borderId="12" xfId="0" applyFont="1" applyBorder="1">
      <alignment vertical="center"/>
    </xf>
    <xf numFmtId="0" fontId="15" fillId="0" borderId="7" xfId="0" applyFont="1" applyBorder="1">
      <alignment vertical="center"/>
    </xf>
    <xf numFmtId="176" fontId="15" fillId="0" borderId="0" xfId="0" applyNumberFormat="1" applyFont="1" applyBorder="1">
      <alignment vertical="center"/>
    </xf>
    <xf numFmtId="0" fontId="15" fillId="0" borderId="0" xfId="0" applyFont="1" applyBorder="1" applyAlignment="1">
      <alignment horizontal="right" vertical="center"/>
    </xf>
    <xf numFmtId="176" fontId="15" fillId="0" borderId="0" xfId="0" applyNumberFormat="1" applyFont="1">
      <alignment vertical="center"/>
    </xf>
    <xf numFmtId="0" fontId="15" fillId="0" borderId="9" xfId="0" applyFont="1" applyBorder="1" applyAlignment="1">
      <alignment vertical="center" shrinkToFit="1"/>
    </xf>
    <xf numFmtId="0" fontId="15" fillId="0" borderId="0" xfId="0" applyFont="1" applyBorder="1" applyAlignment="1">
      <alignment horizontal="center" vertical="center" shrinkToFit="1"/>
    </xf>
    <xf numFmtId="0" fontId="15" fillId="0" borderId="0" xfId="0" applyFont="1" applyAlignment="1">
      <alignment horizontal="center" vertical="center" shrinkToFit="1"/>
    </xf>
    <xf numFmtId="0" fontId="15" fillId="0" borderId="5" xfId="0" applyFont="1" applyBorder="1" applyAlignment="1">
      <alignment horizontal="center" vertical="center" shrinkToFit="1"/>
    </xf>
    <xf numFmtId="0" fontId="15" fillId="0" borderId="14" xfId="0" applyFont="1" applyBorder="1" applyAlignment="1">
      <alignment vertical="center" wrapText="1" shrinkToFit="1"/>
    </xf>
    <xf numFmtId="0" fontId="6" fillId="0" borderId="0" xfId="0" applyFont="1" applyAlignment="1">
      <alignment horizontal="center" vertical="center" shrinkToFit="1"/>
    </xf>
    <xf numFmtId="0" fontId="6" fillId="0" borderId="0" xfId="0" applyFont="1" applyBorder="1" applyAlignment="1">
      <alignment horizontal="center" vertical="center" shrinkToFit="1"/>
    </xf>
    <xf numFmtId="0" fontId="11" fillId="0" borderId="0" xfId="0" applyFont="1" applyBorder="1" applyAlignment="1">
      <alignment horizontal="center" vertical="center" shrinkToFit="1"/>
    </xf>
    <xf numFmtId="0" fontId="6" fillId="0" borderId="6" xfId="0" applyFont="1" applyBorder="1" applyAlignment="1">
      <alignment horizontal="center" vertical="center" shrinkToFit="1"/>
    </xf>
    <xf numFmtId="0" fontId="11" fillId="0" borderId="44" xfId="0" applyFont="1" applyBorder="1" applyAlignment="1">
      <alignment horizontal="center" vertical="center"/>
    </xf>
    <xf numFmtId="0" fontId="9" fillId="0" borderId="8" xfId="0" applyFont="1" applyBorder="1" applyAlignment="1">
      <alignment vertical="center" shrinkToFit="1"/>
    </xf>
    <xf numFmtId="0" fontId="15" fillId="0" borderId="0" xfId="0" applyFont="1" applyFill="1" applyBorder="1" applyAlignment="1">
      <alignment horizontal="center" vertical="center" shrinkToFit="1"/>
    </xf>
    <xf numFmtId="180" fontId="15" fillId="0" borderId="0" xfId="0" applyNumberFormat="1" applyFont="1" applyFill="1" applyBorder="1" applyAlignment="1">
      <alignment vertical="center" shrinkToFit="1"/>
    </xf>
    <xf numFmtId="196" fontId="15" fillId="0" borderId="0" xfId="0" applyNumberFormat="1" applyFont="1" applyBorder="1">
      <alignment vertical="center"/>
    </xf>
    <xf numFmtId="0" fontId="11" fillId="0" borderId="0" xfId="0" applyFont="1" applyBorder="1" applyAlignment="1">
      <alignment vertical="center"/>
    </xf>
    <xf numFmtId="176" fontId="15" fillId="0" borderId="0" xfId="0" applyNumberFormat="1" applyFont="1" applyFill="1" applyBorder="1">
      <alignment vertical="center"/>
    </xf>
    <xf numFmtId="178" fontId="15" fillId="0" borderId="0" xfId="0" applyNumberFormat="1" applyFont="1" applyBorder="1">
      <alignment vertical="center"/>
    </xf>
    <xf numFmtId="187" fontId="15" fillId="0" borderId="0" xfId="0" applyNumberFormat="1" applyFont="1" applyBorder="1">
      <alignment vertical="center"/>
    </xf>
    <xf numFmtId="188" fontId="15" fillId="0" borderId="0" xfId="0" applyNumberFormat="1" applyFont="1" applyBorder="1">
      <alignment vertical="center"/>
    </xf>
    <xf numFmtId="186" fontId="15" fillId="0" borderId="0" xfId="0" applyNumberFormat="1" applyFont="1" applyBorder="1">
      <alignment vertical="center"/>
    </xf>
    <xf numFmtId="11" fontId="15" fillId="0" borderId="0" xfId="0" applyNumberFormat="1" applyFont="1">
      <alignment vertical="center"/>
    </xf>
    <xf numFmtId="177" fontId="15" fillId="0" borderId="0" xfId="0" applyNumberFormat="1" applyFont="1">
      <alignment vertical="center"/>
    </xf>
    <xf numFmtId="0" fontId="15" fillId="0" borderId="0" xfId="0" applyFont="1" applyAlignment="1">
      <alignment horizontal="right" vertical="center" shrinkToFit="1"/>
    </xf>
    <xf numFmtId="0" fontId="15" fillId="0" borderId="0" xfId="0" applyFont="1" applyAlignment="1">
      <alignment horizontal="right" vertical="center"/>
    </xf>
    <xf numFmtId="0" fontId="11" fillId="0" borderId="6" xfId="0" applyFont="1" applyBorder="1" applyAlignment="1">
      <alignment horizontal="center" vertical="center"/>
    </xf>
    <xf numFmtId="180" fontId="6" fillId="0" borderId="0" xfId="0" applyNumberFormat="1" applyFont="1" applyBorder="1" applyAlignment="1">
      <alignment horizontal="center" vertical="center"/>
    </xf>
    <xf numFmtId="0" fontId="15" fillId="0" borderId="0" xfId="0" applyFont="1" applyFill="1" applyAlignment="1">
      <alignment horizontal="center" vertical="center" shrinkToFit="1"/>
    </xf>
    <xf numFmtId="177" fontId="15" fillId="0" borderId="0" xfId="0" applyNumberFormat="1" applyFont="1" applyFill="1" applyBorder="1" applyAlignment="1">
      <alignment horizontal="center" vertical="center"/>
    </xf>
    <xf numFmtId="177" fontId="15" fillId="0" borderId="0" xfId="0" applyNumberFormat="1" applyFont="1" applyFill="1" applyBorder="1" applyAlignment="1">
      <alignment horizontal="center" vertical="center" shrinkToFit="1"/>
    </xf>
    <xf numFmtId="0" fontId="15" fillId="0" borderId="41" xfId="0" applyFont="1" applyBorder="1" applyAlignment="1">
      <alignment vertical="center" shrinkToFit="1"/>
    </xf>
    <xf numFmtId="0" fontId="15" fillId="0" borderId="24" xfId="0" applyFont="1" applyBorder="1" applyAlignment="1">
      <alignment vertical="center" shrinkToFit="1"/>
    </xf>
    <xf numFmtId="0" fontId="15" fillId="0" borderId="24" xfId="0" applyFont="1" applyBorder="1">
      <alignment vertical="center"/>
    </xf>
    <xf numFmtId="0" fontId="15" fillId="0" borderId="42" xfId="0" applyFont="1" applyBorder="1">
      <alignment vertical="center"/>
    </xf>
    <xf numFmtId="0" fontId="15" fillId="0" borderId="14" xfId="0" applyFont="1" applyBorder="1" applyAlignment="1">
      <alignment vertical="center" shrinkToFit="1"/>
    </xf>
    <xf numFmtId="176" fontId="15" fillId="0" borderId="24" xfId="0" applyNumberFormat="1" applyFont="1" applyBorder="1">
      <alignment vertical="center"/>
    </xf>
    <xf numFmtId="176" fontId="15" fillId="0" borderId="25" xfId="0" applyNumberFormat="1" applyFont="1" applyBorder="1">
      <alignment vertical="center"/>
    </xf>
    <xf numFmtId="0" fontId="15" fillId="0" borderId="25" xfId="0" applyFont="1" applyBorder="1">
      <alignment vertical="center"/>
    </xf>
    <xf numFmtId="0" fontId="15" fillId="0" borderId="47" xfId="0" applyFont="1" applyFill="1" applyBorder="1" applyAlignment="1">
      <alignment vertical="center" shrinkToFit="1"/>
    </xf>
    <xf numFmtId="0" fontId="15" fillId="0" borderId="9" xfId="0" applyFont="1" applyFill="1" applyBorder="1" applyAlignment="1">
      <alignment vertical="center" shrinkToFit="1"/>
    </xf>
    <xf numFmtId="0" fontId="15" fillId="0" borderId="39" xfId="0" applyFont="1" applyBorder="1">
      <alignment vertical="center"/>
    </xf>
    <xf numFmtId="0" fontId="15" fillId="0" borderId="48" xfId="0" applyFont="1" applyBorder="1" applyAlignment="1">
      <alignment horizontal="center" vertical="center" shrinkToFit="1"/>
    </xf>
    <xf numFmtId="0" fontId="15" fillId="0" borderId="49" xfId="0" applyFont="1" applyBorder="1">
      <alignment vertical="center"/>
    </xf>
    <xf numFmtId="0" fontId="15" fillId="0" borderId="49" xfId="0" applyFont="1" applyBorder="1" applyAlignment="1">
      <alignment horizontal="center" vertical="center"/>
    </xf>
    <xf numFmtId="0" fontId="15" fillId="0" borderId="50" xfId="0" applyFont="1" applyBorder="1">
      <alignment vertical="center"/>
    </xf>
    <xf numFmtId="0" fontId="0" fillId="0" borderId="44" xfId="0" applyFont="1" applyBorder="1">
      <alignment vertical="center"/>
    </xf>
    <xf numFmtId="0" fontId="0" fillId="0" borderId="45" xfId="0" applyFont="1" applyBorder="1">
      <alignment vertical="center"/>
    </xf>
    <xf numFmtId="0" fontId="0" fillId="0" borderId="14" xfId="0" applyFont="1" applyBorder="1" applyAlignment="1">
      <alignment vertical="center" shrinkToFit="1"/>
    </xf>
    <xf numFmtId="0" fontId="0" fillId="0" borderId="0" xfId="0" applyFont="1" applyAlignment="1">
      <alignment vertical="center" shrinkToFit="1"/>
    </xf>
    <xf numFmtId="0" fontId="0" fillId="0" borderId="0" xfId="0" applyFont="1">
      <alignment vertical="center"/>
    </xf>
    <xf numFmtId="0" fontId="0" fillId="0" borderId="9" xfId="0" applyFont="1" applyBorder="1">
      <alignment vertical="center"/>
    </xf>
    <xf numFmtId="0" fontId="0" fillId="0" borderId="0" xfId="0" applyFont="1" applyBorder="1" applyAlignment="1">
      <alignment horizontal="right" vertical="center" shrinkToFit="1"/>
    </xf>
    <xf numFmtId="0" fontId="0" fillId="0" borderId="0" xfId="0" applyFont="1" applyBorder="1">
      <alignment vertical="center"/>
    </xf>
    <xf numFmtId="0" fontId="0" fillId="0" borderId="31" xfId="0" applyFont="1" applyBorder="1">
      <alignment vertical="center"/>
    </xf>
    <xf numFmtId="0" fontId="0" fillId="0" borderId="32" xfId="0" applyFont="1" applyBorder="1">
      <alignment vertical="center"/>
    </xf>
    <xf numFmtId="0" fontId="0" fillId="0" borderId="0" xfId="0" applyFont="1" applyBorder="1" applyAlignment="1">
      <alignment horizontal="center" vertical="center" shrinkToFit="1"/>
    </xf>
    <xf numFmtId="0" fontId="0" fillId="0" borderId="0" xfId="0" applyFont="1" applyBorder="1" applyAlignment="1">
      <alignment vertical="center" shrinkToFit="1"/>
    </xf>
    <xf numFmtId="0" fontId="0" fillId="0" borderId="53" xfId="0" applyFont="1" applyBorder="1" applyAlignment="1">
      <alignment vertical="center" shrinkToFit="1"/>
    </xf>
    <xf numFmtId="0" fontId="0" fillId="0" borderId="53" xfId="0" applyFont="1" applyBorder="1">
      <alignment vertical="center"/>
    </xf>
    <xf numFmtId="0" fontId="0" fillId="0" borderId="52" xfId="0" applyFont="1" applyBorder="1" applyAlignment="1">
      <alignment vertical="center" shrinkToFit="1"/>
    </xf>
    <xf numFmtId="0" fontId="0" fillId="0" borderId="56" xfId="0" applyFont="1" applyBorder="1">
      <alignment vertical="center"/>
    </xf>
    <xf numFmtId="0" fontId="0" fillId="0" borderId="49" xfId="0" applyFont="1" applyBorder="1">
      <alignment vertical="center"/>
    </xf>
    <xf numFmtId="0" fontId="0" fillId="0" borderId="50" xfId="0" applyFont="1" applyBorder="1">
      <alignment vertical="center"/>
    </xf>
    <xf numFmtId="0" fontId="0" fillId="0" borderId="54" xfId="0" applyFont="1" applyBorder="1">
      <alignment vertical="center"/>
    </xf>
    <xf numFmtId="199" fontId="0" fillId="0" borderId="0" xfId="0" applyNumberFormat="1" applyFont="1" applyBorder="1">
      <alignment vertical="center"/>
    </xf>
    <xf numFmtId="0" fontId="0" fillId="0" borderId="55" xfId="0" applyFont="1" applyBorder="1" applyAlignment="1">
      <alignment vertical="center" shrinkToFit="1"/>
    </xf>
    <xf numFmtId="0" fontId="0" fillId="0" borderId="12" xfId="0" applyFont="1" applyBorder="1">
      <alignment vertical="center"/>
    </xf>
    <xf numFmtId="0" fontId="0" fillId="0" borderId="41" xfId="0" applyFont="1" applyBorder="1" applyAlignment="1">
      <alignment vertical="center" shrinkToFit="1"/>
    </xf>
    <xf numFmtId="0" fontId="0" fillId="0" borderId="57" xfId="0" applyFont="1" applyBorder="1" applyAlignment="1">
      <alignment vertical="center" shrinkToFit="1"/>
    </xf>
    <xf numFmtId="0" fontId="0" fillId="0" borderId="6" xfId="0" applyFont="1" applyBorder="1" applyAlignment="1">
      <alignment horizontal="center" vertical="center" shrinkToFit="1"/>
    </xf>
    <xf numFmtId="0" fontId="0" fillId="0" borderId="6" xfId="0" applyFont="1" applyBorder="1">
      <alignment vertical="center"/>
    </xf>
    <xf numFmtId="0" fontId="0" fillId="0" borderId="7" xfId="0" applyFont="1" applyBorder="1">
      <alignment vertical="center"/>
    </xf>
    <xf numFmtId="0" fontId="0" fillId="0" borderId="31" xfId="0" applyFont="1" applyBorder="1" applyAlignment="1">
      <alignment vertical="center" shrinkToFit="1"/>
    </xf>
    <xf numFmtId="0" fontId="0" fillId="0" borderId="48" xfId="0" applyFont="1" applyBorder="1" applyAlignment="1">
      <alignment vertical="center" shrinkToFit="1"/>
    </xf>
    <xf numFmtId="0" fontId="0" fillId="0" borderId="49" xfId="0" applyFont="1" applyBorder="1" applyAlignment="1">
      <alignment vertical="center" shrinkToFit="1"/>
    </xf>
    <xf numFmtId="0" fontId="0" fillId="0" borderId="59" xfId="0" applyFont="1" applyBorder="1">
      <alignment vertical="center"/>
    </xf>
    <xf numFmtId="0" fontId="0" fillId="0" borderId="60" xfId="0" applyFont="1" applyBorder="1" applyAlignment="1">
      <alignment vertical="center" shrinkToFit="1"/>
    </xf>
    <xf numFmtId="0" fontId="0" fillId="0" borderId="61" xfId="0" applyFont="1" applyBorder="1" applyAlignment="1">
      <alignment vertical="center" shrinkToFit="1"/>
    </xf>
    <xf numFmtId="0" fontId="0" fillId="0" borderId="11" xfId="0" applyFont="1" applyBorder="1">
      <alignment vertical="center"/>
    </xf>
    <xf numFmtId="0" fontId="15" fillId="0" borderId="30" xfId="0" applyFont="1" applyBorder="1" applyAlignment="1">
      <alignment horizontal="center" vertical="center" shrinkToFit="1"/>
    </xf>
    <xf numFmtId="0" fontId="6" fillId="0" borderId="24" xfId="0" applyFont="1" applyBorder="1" applyAlignment="1">
      <alignment horizontal="center" vertical="center"/>
    </xf>
    <xf numFmtId="177" fontId="6" fillId="0" borderId="24" xfId="0" applyNumberFormat="1" applyFont="1" applyBorder="1">
      <alignment vertical="center"/>
    </xf>
    <xf numFmtId="0" fontId="6" fillId="0" borderId="24" xfId="0" applyFont="1" applyBorder="1">
      <alignment vertical="center"/>
    </xf>
    <xf numFmtId="177" fontId="6" fillId="0" borderId="0" xfId="0" applyNumberFormat="1" applyFont="1" applyAlignment="1">
      <alignment horizontal="center" vertical="center"/>
    </xf>
    <xf numFmtId="198" fontId="6" fillId="0" borderId="0" xfId="0" applyNumberFormat="1" applyFont="1" applyBorder="1">
      <alignment vertical="center"/>
    </xf>
    <xf numFmtId="177" fontId="6" fillId="0" borderId="9" xfId="0" applyNumberFormat="1" applyFont="1" applyBorder="1">
      <alignment vertical="center"/>
    </xf>
    <xf numFmtId="192" fontId="6" fillId="0" borderId="0" xfId="0" applyNumberFormat="1" applyFont="1" applyBorder="1" applyAlignment="1">
      <alignment horizontal="center" vertical="center"/>
    </xf>
    <xf numFmtId="199" fontId="6" fillId="0" borderId="0" xfId="0" applyNumberFormat="1" applyFont="1" applyBorder="1">
      <alignment vertical="center"/>
    </xf>
    <xf numFmtId="0" fontId="15" fillId="0" borderId="0" xfId="0" applyFont="1" applyBorder="1" applyAlignment="1">
      <alignment horizontal="left" vertical="center"/>
    </xf>
    <xf numFmtId="178" fontId="6" fillId="0" borderId="0" xfId="0" applyNumberFormat="1" applyFont="1" applyBorder="1" applyAlignment="1">
      <alignment horizontal="center" vertical="center"/>
    </xf>
    <xf numFmtId="193" fontId="15" fillId="0" borderId="0" xfId="0" applyNumberFormat="1" applyFont="1">
      <alignment vertical="center"/>
    </xf>
    <xf numFmtId="189" fontId="6" fillId="0" borderId="0" xfId="0" applyNumberFormat="1" applyFont="1" applyBorder="1">
      <alignment vertical="center"/>
    </xf>
    <xf numFmtId="177" fontId="15" fillId="0" borderId="0" xfId="0" applyNumberFormat="1" applyFont="1" applyBorder="1">
      <alignment vertical="center"/>
    </xf>
    <xf numFmtId="2" fontId="15" fillId="0" borderId="0" xfId="0" applyNumberFormat="1" applyFont="1">
      <alignment vertical="center"/>
    </xf>
    <xf numFmtId="195" fontId="15" fillId="0" borderId="0" xfId="0" applyNumberFormat="1" applyFont="1">
      <alignment vertical="center"/>
    </xf>
    <xf numFmtId="0" fontId="15" fillId="0" borderId="58" xfId="0" applyFont="1" applyBorder="1" applyAlignment="1">
      <alignment horizontal="right" vertical="center" shrinkToFit="1"/>
    </xf>
    <xf numFmtId="0" fontId="6" fillId="0" borderId="59" xfId="0" applyFont="1" applyBorder="1" applyAlignment="1">
      <alignment horizontal="right" vertical="center"/>
    </xf>
    <xf numFmtId="0" fontId="6" fillId="0" borderId="59" xfId="0" applyFont="1" applyBorder="1">
      <alignment vertical="center"/>
    </xf>
    <xf numFmtId="0" fontId="6" fillId="0" borderId="59" xfId="0" applyFont="1" applyBorder="1" applyAlignment="1">
      <alignment vertical="center" shrinkToFit="1"/>
    </xf>
    <xf numFmtId="177" fontId="6" fillId="0" borderId="59" xfId="0" applyNumberFormat="1" applyFont="1" applyBorder="1">
      <alignment vertical="center"/>
    </xf>
    <xf numFmtId="0" fontId="15" fillId="0" borderId="59" xfId="0" applyFont="1" applyBorder="1" applyAlignment="1">
      <alignment horizontal="right" vertical="center" shrinkToFit="1"/>
    </xf>
    <xf numFmtId="0" fontId="6" fillId="0" borderId="43" xfId="0" applyFont="1" applyBorder="1" applyAlignment="1">
      <alignment horizontal="center" vertical="center" shrinkToFit="1"/>
    </xf>
    <xf numFmtId="0" fontId="0" fillId="0" borderId="44" xfId="0" applyFont="1" applyBorder="1" applyAlignment="1">
      <alignment horizontal="center" vertical="center" shrinkToFit="1"/>
    </xf>
    <xf numFmtId="194" fontId="15" fillId="0" borderId="0" xfId="0" applyNumberFormat="1" applyFont="1">
      <alignment vertical="center"/>
    </xf>
    <xf numFmtId="0" fontId="15" fillId="0" borderId="0" xfId="0" applyFont="1" applyAlignment="1">
      <alignment horizontal="center" vertical="center" shrinkToFit="1"/>
    </xf>
    <xf numFmtId="0" fontId="15" fillId="0" borderId="0" xfId="0" applyFont="1" applyBorder="1" applyAlignment="1">
      <alignment horizontal="center" vertical="center" shrinkToFit="1"/>
    </xf>
    <xf numFmtId="0" fontId="15" fillId="0" borderId="14" xfId="0" applyFont="1" applyBorder="1" applyAlignment="1">
      <alignment vertical="center" wrapText="1" shrinkToFit="1"/>
    </xf>
    <xf numFmtId="0" fontId="0" fillId="0" borderId="0" xfId="0" applyAlignment="1">
      <alignment horizontal="center" vertical="center" shrinkToFit="1"/>
    </xf>
    <xf numFmtId="0" fontId="6" fillId="0" borderId="0" xfId="0" applyFont="1" applyAlignment="1">
      <alignment horizontal="center" vertical="center" shrinkToFit="1"/>
    </xf>
    <xf numFmtId="0" fontId="6" fillId="0" borderId="0" xfId="0" applyFont="1" applyBorder="1" applyAlignment="1">
      <alignment horizontal="center" vertical="center" shrinkToFit="1"/>
    </xf>
    <xf numFmtId="0" fontId="11" fillId="0" borderId="0" xfId="0" applyFont="1" applyBorder="1" applyAlignment="1">
      <alignment horizontal="center" vertical="center"/>
    </xf>
    <xf numFmtId="0" fontId="0" fillId="0" borderId="0" xfId="0" applyAlignment="1">
      <alignment vertical="center" shrinkToFit="1"/>
    </xf>
    <xf numFmtId="176" fontId="15" fillId="0" borderId="64" xfId="0" applyNumberFormat="1" applyFont="1" applyBorder="1">
      <alignment vertical="center"/>
    </xf>
    <xf numFmtId="191" fontId="15" fillId="0" borderId="0" xfId="0" applyNumberFormat="1" applyFont="1">
      <alignment vertical="center"/>
    </xf>
    <xf numFmtId="0" fontId="0" fillId="0" borderId="14" xfId="0" applyBorder="1" applyAlignment="1">
      <alignment vertical="center" shrinkToFit="1"/>
    </xf>
    <xf numFmtId="0" fontId="15" fillId="0" borderId="0" xfId="0" applyFont="1" applyAlignment="1">
      <alignment horizontal="center" vertical="center" shrinkToFit="1"/>
    </xf>
    <xf numFmtId="191" fontId="15" fillId="0" borderId="65" xfId="0" applyNumberFormat="1" applyFont="1" applyBorder="1">
      <alignment vertical="center"/>
    </xf>
    <xf numFmtId="0" fontId="15" fillId="0" borderId="26" xfId="0" applyFont="1" applyBorder="1" applyAlignment="1">
      <alignment horizontal="center" vertical="center"/>
    </xf>
    <xf numFmtId="0" fontId="6" fillId="0" borderId="28" xfId="0" applyFont="1" applyFill="1" applyBorder="1" applyAlignment="1">
      <alignment horizontal="center" vertical="center"/>
    </xf>
    <xf numFmtId="0" fontId="6" fillId="0" borderId="2" xfId="0" applyFont="1" applyFill="1" applyBorder="1" applyAlignment="1">
      <alignment horizontal="center" vertical="center"/>
    </xf>
    <xf numFmtId="0" fontId="15" fillId="0" borderId="2" xfId="0" applyFont="1" applyBorder="1" applyAlignment="1">
      <alignment horizontal="center" vertical="center"/>
    </xf>
    <xf numFmtId="0" fontId="15" fillId="0" borderId="1" xfId="0" applyFont="1" applyBorder="1">
      <alignment vertical="center"/>
    </xf>
    <xf numFmtId="0" fontId="15" fillId="0" borderId="0" xfId="0" applyFont="1" applyAlignment="1">
      <alignment horizontal="center" vertical="center" shrinkToFit="1"/>
    </xf>
    <xf numFmtId="0" fontId="15" fillId="0" borderId="5" xfId="0" applyFont="1" applyBorder="1" applyAlignment="1">
      <alignment horizontal="center" vertical="center" shrinkToFit="1"/>
    </xf>
    <xf numFmtId="0" fontId="6" fillId="0" borderId="0" xfId="0" applyFont="1" applyAlignment="1">
      <alignment horizontal="center" vertical="center" shrinkToFit="1"/>
    </xf>
    <xf numFmtId="0" fontId="6" fillId="0" borderId="0" xfId="0" applyFont="1" applyBorder="1" applyAlignment="1">
      <alignment horizontal="center" vertical="center" shrinkToFit="1"/>
    </xf>
    <xf numFmtId="0" fontId="15" fillId="0" borderId="6" xfId="0" applyFont="1" applyBorder="1" applyAlignment="1">
      <alignment horizontal="center" vertical="center"/>
    </xf>
    <xf numFmtId="0" fontId="15" fillId="0" borderId="0" xfId="0" applyFont="1" applyAlignment="1">
      <alignment vertical="center"/>
    </xf>
    <xf numFmtId="0" fontId="0" fillId="0" borderId="0" xfId="0" applyAlignment="1">
      <alignment vertical="center" shrinkToFit="1"/>
    </xf>
    <xf numFmtId="176" fontId="15" fillId="0" borderId="1" xfId="0" applyNumberFormat="1" applyFont="1" applyBorder="1">
      <alignment vertical="center"/>
    </xf>
    <xf numFmtId="0" fontId="15" fillId="0" borderId="66" xfId="0" applyFont="1" applyBorder="1" applyAlignment="1">
      <alignment horizontal="center" vertical="center" shrinkToFit="1"/>
    </xf>
    <xf numFmtId="0" fontId="9" fillId="0" borderId="67" xfId="0" applyFont="1" applyBorder="1" applyAlignment="1">
      <alignment horizontal="center" vertical="center" shrinkToFit="1"/>
    </xf>
    <xf numFmtId="0" fontId="9" fillId="0" borderId="68" xfId="0" applyFont="1" applyBorder="1">
      <alignment vertical="center"/>
    </xf>
    <xf numFmtId="0" fontId="0" fillId="0" borderId="68" xfId="0" applyBorder="1">
      <alignment vertical="center"/>
    </xf>
    <xf numFmtId="0" fontId="0" fillId="0" borderId="70" xfId="0" applyBorder="1">
      <alignment vertical="center"/>
    </xf>
    <xf numFmtId="0" fontId="15" fillId="0" borderId="13" xfId="0" applyFont="1" applyBorder="1" applyAlignment="1">
      <alignment vertical="center" shrinkToFit="1"/>
    </xf>
    <xf numFmtId="0" fontId="15" fillId="0" borderId="66" xfId="0" applyFont="1" applyBorder="1" applyAlignment="1">
      <alignment vertical="center" shrinkToFit="1"/>
    </xf>
    <xf numFmtId="0" fontId="15" fillId="0" borderId="68" xfId="0" applyFont="1" applyFill="1" applyBorder="1" applyAlignment="1">
      <alignment horizontal="center" vertical="center" shrinkToFit="1"/>
    </xf>
    <xf numFmtId="0" fontId="15" fillId="0" borderId="68" xfId="0" applyFont="1" applyBorder="1" applyAlignment="1">
      <alignment horizontal="center" vertical="center"/>
    </xf>
    <xf numFmtId="0" fontId="15" fillId="0" borderId="68" xfId="0" applyFont="1" applyBorder="1">
      <alignment vertical="center"/>
    </xf>
    <xf numFmtId="0" fontId="15" fillId="0" borderId="70" xfId="0" applyFont="1" applyBorder="1">
      <alignment vertical="center"/>
    </xf>
    <xf numFmtId="0" fontId="15" fillId="0" borderId="6" xfId="0" applyFont="1" applyBorder="1" applyAlignment="1">
      <alignment vertical="center" shrinkToFit="1"/>
    </xf>
    <xf numFmtId="0" fontId="9" fillId="0" borderId="8" xfId="0" applyFont="1" applyBorder="1" applyAlignment="1">
      <alignment horizontal="center" vertical="center" shrinkToFit="1"/>
    </xf>
    <xf numFmtId="0" fontId="3" fillId="0" borderId="0" xfId="0" applyFont="1">
      <alignment vertical="center"/>
    </xf>
    <xf numFmtId="0" fontId="6" fillId="0" borderId="22" xfId="0" applyFont="1" applyBorder="1" applyAlignment="1">
      <alignment vertical="center" shrinkToFit="1"/>
    </xf>
    <xf numFmtId="0" fontId="3" fillId="0" borderId="24" xfId="0" applyFont="1" applyBorder="1" applyAlignment="1">
      <alignment horizontal="center" vertical="center"/>
    </xf>
    <xf numFmtId="0" fontId="15" fillId="0" borderId="0" xfId="0" applyFont="1" applyBorder="1" applyAlignment="1">
      <alignment horizontal="center" vertical="center" shrinkToFit="1"/>
    </xf>
    <xf numFmtId="0" fontId="9" fillId="0" borderId="0" xfId="0" applyFont="1" applyBorder="1" applyAlignment="1">
      <alignment horizontal="center" vertical="center" shrinkToFit="1"/>
    </xf>
    <xf numFmtId="0" fontId="6" fillId="0" borderId="0"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0" xfId="0" applyFont="1" applyBorder="1" applyAlignment="1">
      <alignment vertical="center"/>
    </xf>
    <xf numFmtId="0" fontId="0" fillId="0" borderId="0" xfId="0" applyAlignment="1">
      <alignment vertical="center" shrinkToFit="1"/>
    </xf>
    <xf numFmtId="0" fontId="6" fillId="0" borderId="0" xfId="0" applyFont="1" applyBorder="1" applyAlignment="1">
      <alignment horizontal="center" vertical="center" shrinkToFit="1"/>
    </xf>
    <xf numFmtId="0" fontId="9" fillId="0" borderId="0" xfId="0" applyFont="1" applyBorder="1" applyAlignment="1">
      <alignment horizontal="center" vertical="center" shrinkToFit="1"/>
    </xf>
    <xf numFmtId="176" fontId="15" fillId="0" borderId="2" xfId="0" applyNumberFormat="1" applyFont="1" applyBorder="1">
      <alignment vertical="center"/>
    </xf>
    <xf numFmtId="0" fontId="15" fillId="0" borderId="73" xfId="0" applyFont="1" applyBorder="1" applyAlignment="1">
      <alignment horizontal="center" vertical="center" shrinkToFit="1"/>
    </xf>
    <xf numFmtId="0" fontId="0" fillId="0" borderId="74" xfId="0" applyBorder="1">
      <alignment vertical="center"/>
    </xf>
    <xf numFmtId="0" fontId="0" fillId="0" borderId="75" xfId="0" applyBorder="1" applyAlignment="1">
      <alignment vertical="center" shrinkToFit="1"/>
    </xf>
    <xf numFmtId="0" fontId="0" fillId="0" borderId="2" xfId="0" applyBorder="1" applyAlignment="1">
      <alignment vertical="center" shrinkToFit="1"/>
    </xf>
    <xf numFmtId="0" fontId="0" fillId="0" borderId="64" xfId="0" applyBorder="1" applyAlignment="1">
      <alignment vertical="center" shrinkToFit="1"/>
    </xf>
    <xf numFmtId="0" fontId="0" fillId="0" borderId="64" xfId="0" applyBorder="1">
      <alignment vertical="center"/>
    </xf>
    <xf numFmtId="177" fontId="15" fillId="0" borderId="22" xfId="0" applyNumberFormat="1" applyFont="1" applyBorder="1">
      <alignment vertical="center"/>
    </xf>
    <xf numFmtId="0" fontId="16" fillId="0" borderId="14" xfId="0" applyFont="1" applyBorder="1" applyAlignment="1">
      <alignment horizontal="center" vertical="center" shrinkToFit="1"/>
    </xf>
    <xf numFmtId="0" fontId="0" fillId="0" borderId="76" xfId="0" applyFont="1" applyBorder="1" applyAlignment="1">
      <alignment vertical="center" shrinkToFit="1"/>
    </xf>
    <xf numFmtId="0" fontId="0" fillId="0" borderId="77" xfId="0" applyFont="1" applyBorder="1" applyAlignment="1">
      <alignment vertical="center" shrinkToFit="1"/>
    </xf>
    <xf numFmtId="0" fontId="0" fillId="0" borderId="77" xfId="0" applyFont="1" applyBorder="1">
      <alignment vertical="center"/>
    </xf>
    <xf numFmtId="0" fontId="4" fillId="0" borderId="77" xfId="0" applyFont="1" applyBorder="1" applyAlignment="1">
      <alignment horizontal="center" vertical="center" shrinkToFit="1"/>
    </xf>
    <xf numFmtId="0" fontId="0" fillId="0" borderId="78" xfId="0" applyFont="1" applyBorder="1">
      <alignment vertical="center"/>
    </xf>
    <xf numFmtId="0" fontId="0" fillId="0" borderId="76" xfId="0" applyBorder="1" applyAlignment="1">
      <alignment vertical="center" shrinkToFit="1"/>
    </xf>
    <xf numFmtId="0" fontId="6" fillId="0" borderId="24" xfId="0" applyFont="1" applyBorder="1" applyAlignment="1">
      <alignment vertical="center" shrinkToFit="1"/>
    </xf>
    <xf numFmtId="0" fontId="16" fillId="0" borderId="79" xfId="0" applyFont="1" applyFill="1" applyBorder="1" applyAlignment="1">
      <alignment horizontal="center" vertical="center" shrinkToFit="1"/>
    </xf>
    <xf numFmtId="0" fontId="0" fillId="0" borderId="60" xfId="0" applyBorder="1" applyAlignment="1">
      <alignment vertical="center" shrinkToFit="1"/>
    </xf>
    <xf numFmtId="0" fontId="0" fillId="0" borderId="11" xfId="0" applyFont="1" applyBorder="1" applyAlignment="1">
      <alignment vertical="center" shrinkToFit="1"/>
    </xf>
    <xf numFmtId="0" fontId="0" fillId="0" borderId="80" xfId="0" applyFont="1" applyBorder="1">
      <alignment vertical="center"/>
    </xf>
    <xf numFmtId="0" fontId="15" fillId="0" borderId="0" xfId="0" applyFont="1" applyAlignment="1">
      <alignment horizontal="center" vertical="center" shrinkToFit="1"/>
    </xf>
    <xf numFmtId="0" fontId="6" fillId="0" borderId="0" xfId="0" applyFont="1" applyAlignment="1">
      <alignment horizontal="center" vertical="center" shrinkToFit="1"/>
    </xf>
    <xf numFmtId="0" fontId="6" fillId="0" borderId="0" xfId="0" applyFont="1" applyBorder="1" applyAlignment="1">
      <alignment horizontal="center" vertical="center" shrinkToFit="1"/>
    </xf>
    <xf numFmtId="0" fontId="15" fillId="0" borderId="0" xfId="0" applyFont="1" applyAlignment="1">
      <alignment vertical="center"/>
    </xf>
    <xf numFmtId="0" fontId="0" fillId="0" borderId="0" xfId="0" applyAlignment="1">
      <alignment vertical="center" shrinkToFit="1"/>
    </xf>
    <xf numFmtId="0" fontId="9" fillId="0" borderId="53" xfId="0" applyFont="1" applyBorder="1" applyAlignment="1">
      <alignment horizontal="center" vertical="center" shrinkToFit="1"/>
    </xf>
    <xf numFmtId="0" fontId="9" fillId="0" borderId="77" xfId="0" applyFont="1" applyBorder="1" applyAlignment="1">
      <alignment horizontal="center" vertical="center" shrinkToFit="1"/>
    </xf>
    <xf numFmtId="0" fontId="9" fillId="0" borderId="11" xfId="0" applyFont="1" applyBorder="1" applyAlignment="1">
      <alignment horizontal="center" vertical="center" shrinkToFit="1"/>
    </xf>
    <xf numFmtId="0" fontId="0" fillId="0" borderId="59" xfId="0" applyBorder="1" applyAlignment="1">
      <alignment vertical="center" shrinkToFit="1"/>
    </xf>
    <xf numFmtId="0" fontId="0" fillId="0" borderId="77" xfId="0" applyBorder="1" applyAlignment="1">
      <alignment vertical="center" shrinkToFit="1"/>
    </xf>
    <xf numFmtId="0" fontId="0" fillId="0" borderId="54" xfId="0" applyBorder="1">
      <alignment vertical="center"/>
    </xf>
    <xf numFmtId="0" fontId="0" fillId="0" borderId="55" xfId="0" applyBorder="1" applyAlignment="1">
      <alignment vertical="center" shrinkToFit="1"/>
    </xf>
    <xf numFmtId="0" fontId="0" fillId="0" borderId="42" xfId="0" applyFont="1" applyBorder="1">
      <alignment vertical="center"/>
    </xf>
    <xf numFmtId="0" fontId="16" fillId="0" borderId="79" xfId="0" applyFont="1" applyBorder="1" applyAlignment="1">
      <alignment horizontal="center" vertical="center" shrinkToFit="1"/>
    </xf>
    <xf numFmtId="0" fontId="4" fillId="0" borderId="11" xfId="0" applyFont="1" applyBorder="1" applyAlignment="1">
      <alignment horizontal="center" vertical="center" shrinkToFit="1"/>
    </xf>
    <xf numFmtId="0" fontId="0" fillId="0" borderId="81" xfId="0" applyFont="1" applyBorder="1">
      <alignment vertical="center"/>
    </xf>
    <xf numFmtId="0" fontId="16" fillId="0" borderId="14" xfId="0" applyFont="1" applyFill="1" applyBorder="1" applyAlignment="1">
      <alignment horizontal="center" vertical="center" shrinkToFit="1"/>
    </xf>
    <xf numFmtId="0" fontId="9" fillId="0" borderId="30" xfId="0" applyFont="1" applyBorder="1" applyAlignment="1">
      <alignment horizontal="center" vertical="center" shrinkToFit="1"/>
    </xf>
    <xf numFmtId="0" fontId="0" fillId="0" borderId="31" xfId="0" applyBorder="1" applyAlignment="1">
      <alignment vertical="center" shrinkToFit="1"/>
    </xf>
    <xf numFmtId="0" fontId="15" fillId="0" borderId="53" xfId="0" applyFont="1" applyBorder="1" applyAlignment="1">
      <alignment horizontal="center" vertical="center" shrinkToFit="1"/>
    </xf>
    <xf numFmtId="0" fontId="6" fillId="0" borderId="53" xfId="0" applyFont="1" applyBorder="1" applyAlignment="1">
      <alignment horizontal="center" vertical="center" shrinkToFit="1"/>
    </xf>
    <xf numFmtId="0" fontId="6" fillId="0" borderId="53" xfId="0" applyFont="1" applyBorder="1">
      <alignment vertical="center"/>
    </xf>
    <xf numFmtId="0" fontId="0" fillId="0" borderId="53" xfId="0" applyFont="1" applyBorder="1" applyAlignment="1">
      <alignment horizontal="center" vertical="center" shrinkToFit="1"/>
    </xf>
    <xf numFmtId="198" fontId="15" fillId="0" borderId="0" xfId="0" applyNumberFormat="1" applyFont="1">
      <alignment vertical="center"/>
    </xf>
    <xf numFmtId="0" fontId="15" fillId="0" borderId="0" xfId="0" applyFont="1" applyBorder="1" applyAlignment="1">
      <alignment horizontal="center" vertical="center" shrinkToFit="1"/>
    </xf>
    <xf numFmtId="0" fontId="15" fillId="0" borderId="0" xfId="0" applyFont="1" applyAlignment="1">
      <alignment horizontal="center" vertical="center" shrinkToFit="1"/>
    </xf>
    <xf numFmtId="0" fontId="6" fillId="0" borderId="0" xfId="0" applyFont="1" applyBorder="1" applyAlignment="1">
      <alignment horizontal="center" vertical="center" shrinkToFit="1"/>
    </xf>
    <xf numFmtId="0" fontId="0" fillId="0" borderId="0" xfId="0" applyAlignment="1">
      <alignment vertical="center" shrinkToFit="1"/>
    </xf>
    <xf numFmtId="0" fontId="6" fillId="0" borderId="0" xfId="0" applyFont="1" applyAlignment="1">
      <alignment horizontal="center" vertical="center"/>
    </xf>
    <xf numFmtId="0" fontId="29" fillId="0" borderId="0" xfId="0" applyFont="1" applyBorder="1">
      <alignment vertical="center"/>
    </xf>
    <xf numFmtId="0" fontId="3" fillId="0" borderId="0" xfId="0" applyFont="1" applyBorder="1">
      <alignment vertical="center"/>
    </xf>
    <xf numFmtId="0" fontId="6" fillId="0" borderId="0" xfId="0" applyFont="1" applyBorder="1" applyAlignment="1">
      <alignment vertical="center" shrinkToFit="1"/>
    </xf>
    <xf numFmtId="180" fontId="3" fillId="0" borderId="0" xfId="0" applyNumberFormat="1" applyFont="1" applyBorder="1" applyAlignment="1">
      <alignment horizontal="center" vertical="center"/>
    </xf>
    <xf numFmtId="0" fontId="15" fillId="0" borderId="0" xfId="0" applyFont="1" applyAlignment="1">
      <alignment horizontal="center" vertical="center" shrinkToFit="1"/>
    </xf>
    <xf numFmtId="0" fontId="15" fillId="0" borderId="0" xfId="0" applyFont="1" applyBorder="1" applyAlignment="1">
      <alignment horizontal="center" vertical="center" shrinkToFit="1"/>
    </xf>
    <xf numFmtId="0" fontId="15" fillId="0" borderId="5" xfId="0" applyFont="1" applyBorder="1" applyAlignment="1">
      <alignment horizontal="center" vertical="center" shrinkToFit="1"/>
    </xf>
    <xf numFmtId="0" fontId="15" fillId="0" borderId="14" xfId="0" applyFont="1" applyBorder="1" applyAlignment="1">
      <alignment vertical="center" wrapText="1" shrinkToFit="1"/>
    </xf>
    <xf numFmtId="0" fontId="6" fillId="0" borderId="0" xfId="0" applyFont="1" applyBorder="1" applyAlignment="1">
      <alignment horizontal="center" vertical="center" shrinkToFit="1"/>
    </xf>
    <xf numFmtId="0" fontId="11" fillId="0" borderId="0" xfId="0" applyFont="1" applyBorder="1" applyAlignment="1">
      <alignment horizontal="center" vertical="center"/>
    </xf>
    <xf numFmtId="0" fontId="15" fillId="0" borderId="9" xfId="0" applyFont="1" applyBorder="1" applyAlignment="1">
      <alignment horizontal="center" vertical="center" shrinkToFit="1"/>
    </xf>
    <xf numFmtId="0" fontId="15" fillId="0" borderId="0" xfId="0" applyFont="1" applyAlignment="1">
      <alignment vertical="center"/>
    </xf>
    <xf numFmtId="0" fontId="0" fillId="0" borderId="0" xfId="0" applyAlignment="1">
      <alignment vertical="center" shrinkToFit="1"/>
    </xf>
    <xf numFmtId="0" fontId="6" fillId="0" borderId="0" xfId="0" applyFont="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vertical="center" shrinkToFit="1"/>
    </xf>
    <xf numFmtId="0" fontId="0" fillId="0" borderId="8" xfId="0" applyFont="1" applyBorder="1" applyAlignment="1">
      <alignment vertical="center" shrinkToFit="1"/>
    </xf>
    <xf numFmtId="0" fontId="0" fillId="0" borderId="8" xfId="0" applyFont="1" applyBorder="1" applyAlignment="1">
      <alignment horizontal="center" vertical="center" shrinkToFit="1"/>
    </xf>
    <xf numFmtId="0" fontId="0" fillId="0" borderId="82" xfId="0" applyFont="1" applyBorder="1" applyAlignment="1">
      <alignment vertical="center" shrinkToFit="1"/>
    </xf>
    <xf numFmtId="0" fontId="15" fillId="0" borderId="83" xfId="0" applyFont="1" applyBorder="1" applyAlignment="1">
      <alignment horizontal="center" vertical="center" shrinkToFit="1"/>
    </xf>
    <xf numFmtId="0" fontId="6" fillId="0" borderId="84" xfId="0" applyFont="1" applyBorder="1" applyAlignment="1">
      <alignment horizontal="center" vertical="center" shrinkToFit="1"/>
    </xf>
    <xf numFmtId="0" fontId="0" fillId="0" borderId="84" xfId="0" applyFont="1" applyBorder="1" applyAlignment="1">
      <alignment horizontal="center" vertical="center" shrinkToFit="1"/>
    </xf>
    <xf numFmtId="0" fontId="0" fillId="0" borderId="84" xfId="0" applyFont="1" applyBorder="1">
      <alignment vertical="center"/>
    </xf>
    <xf numFmtId="177" fontId="6" fillId="0" borderId="11" xfId="0" applyNumberFormat="1" applyFont="1" applyBorder="1">
      <alignment vertical="center"/>
    </xf>
    <xf numFmtId="0" fontId="9" fillId="0" borderId="11" xfId="0" applyFont="1" applyBorder="1">
      <alignment vertical="center"/>
    </xf>
    <xf numFmtId="0" fontId="0" fillId="0" borderId="85" xfId="0" applyFont="1" applyBorder="1">
      <alignment vertical="center"/>
    </xf>
    <xf numFmtId="0" fontId="0" fillId="0" borderId="85" xfId="0" applyBorder="1">
      <alignment vertical="center"/>
    </xf>
    <xf numFmtId="0" fontId="6" fillId="0" borderId="83" xfId="0" applyFont="1" applyBorder="1" applyAlignment="1">
      <alignment horizontal="center" vertical="center" shrinkToFit="1"/>
    </xf>
    <xf numFmtId="0" fontId="11" fillId="0" borderId="84" xfId="0" applyFont="1" applyBorder="1" applyAlignment="1">
      <alignment horizontal="center" vertical="center"/>
    </xf>
    <xf numFmtId="0" fontId="9" fillId="0" borderId="0" xfId="0" applyFont="1" applyAlignment="1">
      <alignment vertical="center"/>
    </xf>
    <xf numFmtId="0" fontId="31" fillId="0" borderId="22" xfId="0" applyFont="1" applyBorder="1" applyAlignment="1">
      <alignment horizontal="center" vertical="center" shrinkToFit="1"/>
    </xf>
    <xf numFmtId="0" fontId="15" fillId="0" borderId="20" xfId="0" applyFont="1" applyBorder="1" applyAlignment="1">
      <alignment horizontal="center" vertical="center"/>
    </xf>
    <xf numFmtId="0" fontId="3" fillId="0" borderId="3" xfId="0" applyFont="1" applyBorder="1" applyAlignment="1">
      <alignment horizontal="center" vertical="center"/>
    </xf>
    <xf numFmtId="0" fontId="15" fillId="0" borderId="4" xfId="0" applyFont="1" applyBorder="1" applyAlignment="1">
      <alignment horizontal="center" vertical="center"/>
    </xf>
    <xf numFmtId="176" fontId="15" fillId="0" borderId="15" xfId="0" applyNumberFormat="1" applyFont="1" applyBorder="1">
      <alignment vertical="center"/>
    </xf>
    <xf numFmtId="0" fontId="3" fillId="0" borderId="23" xfId="0" applyFont="1" applyBorder="1" applyAlignment="1">
      <alignment horizontal="center" vertical="center"/>
    </xf>
    <xf numFmtId="0" fontId="3" fillId="0" borderId="61" xfId="0" applyFont="1" applyBorder="1" applyAlignment="1">
      <alignment horizontal="center" vertical="center"/>
    </xf>
    <xf numFmtId="176" fontId="15" fillId="0" borderId="11" xfId="0" applyNumberFormat="1" applyFont="1" applyBorder="1">
      <alignment vertical="center"/>
    </xf>
    <xf numFmtId="0" fontId="15" fillId="0" borderId="80" xfId="0" applyFont="1" applyBorder="1" applyAlignment="1">
      <alignment horizontal="center" vertical="center"/>
    </xf>
    <xf numFmtId="200" fontId="15" fillId="0" borderId="0" xfId="0" applyNumberFormat="1" applyFont="1" applyBorder="1">
      <alignment vertical="center"/>
    </xf>
    <xf numFmtId="0" fontId="15" fillId="0" borderId="0" xfId="0" applyFont="1" applyAlignment="1">
      <alignment horizontal="center" vertical="center" shrinkToFit="1"/>
    </xf>
    <xf numFmtId="0" fontId="15" fillId="0" borderId="14" xfId="0" applyFont="1" applyBorder="1" applyAlignment="1">
      <alignment vertical="center" wrapText="1" shrinkToFit="1"/>
    </xf>
    <xf numFmtId="0" fontId="11" fillId="0" borderId="0" xfId="0" applyFont="1" applyBorder="1" applyAlignment="1">
      <alignment horizontal="center" vertical="center"/>
    </xf>
    <xf numFmtId="0" fontId="15" fillId="0" borderId="0" xfId="0" applyFont="1" applyAlignment="1">
      <alignment vertical="center"/>
    </xf>
    <xf numFmtId="0" fontId="0" fillId="0" borderId="0" xfId="0" applyAlignment="1">
      <alignment vertical="center" shrinkToFit="1"/>
    </xf>
    <xf numFmtId="0" fontId="15" fillId="0" borderId="0" xfId="0" applyFont="1" applyAlignment="1">
      <alignment horizontal="center" vertical="center" shrinkToFit="1"/>
    </xf>
    <xf numFmtId="0" fontId="6" fillId="0" borderId="0" xfId="0" applyFont="1" applyAlignment="1">
      <alignment horizontal="center" vertical="center" shrinkToFit="1"/>
    </xf>
    <xf numFmtId="0" fontId="6" fillId="0" borderId="0" xfId="0" applyFont="1" applyBorder="1" applyAlignment="1">
      <alignment horizontal="center" vertical="center" shrinkToFit="1"/>
    </xf>
    <xf numFmtId="0" fontId="6" fillId="0" borderId="0" xfId="0" applyFont="1" applyAlignment="1">
      <alignment horizontal="center" vertical="center"/>
    </xf>
    <xf numFmtId="0" fontId="6" fillId="0" borderId="0" xfId="0" applyFont="1" applyBorder="1" applyAlignment="1">
      <alignment vertical="center" shrinkToFit="1"/>
    </xf>
    <xf numFmtId="0" fontId="15" fillId="0" borderId="0" xfId="0" applyFont="1" applyBorder="1" applyAlignment="1">
      <alignment horizontal="center" vertical="center" shrinkToFit="1"/>
    </xf>
    <xf numFmtId="0" fontId="15" fillId="0" borderId="0" xfId="0" applyFont="1" applyAlignment="1">
      <alignment horizontal="center" vertical="center" shrinkToFit="1"/>
    </xf>
    <xf numFmtId="0" fontId="6" fillId="0" borderId="0" xfId="0" applyFont="1" applyAlignment="1">
      <alignment horizontal="center" vertical="center" shrinkToFit="1"/>
    </xf>
    <xf numFmtId="0" fontId="6" fillId="0" borderId="0" xfId="0" applyFont="1" applyBorder="1" applyAlignment="1">
      <alignment horizontal="center" vertical="center" shrinkToFit="1"/>
    </xf>
    <xf numFmtId="0" fontId="15" fillId="0" borderId="0" xfId="0" applyFont="1" applyAlignment="1">
      <alignment vertical="center"/>
    </xf>
    <xf numFmtId="0" fontId="6" fillId="0" borderId="0" xfId="0" applyFont="1" applyBorder="1" applyAlignment="1">
      <alignment horizontal="center" vertical="center"/>
    </xf>
    <xf numFmtId="0" fontId="6" fillId="0" borderId="0" xfId="0" applyFont="1" applyBorder="1" applyAlignment="1">
      <alignment vertical="center" shrinkToFit="1"/>
    </xf>
    <xf numFmtId="0" fontId="9" fillId="0" borderId="3" xfId="0" applyFont="1" applyBorder="1" applyAlignment="1">
      <alignment horizontal="center" vertical="center"/>
    </xf>
    <xf numFmtId="0" fontId="15" fillId="0" borderId="1" xfId="0" applyFont="1" applyBorder="1" applyAlignment="1">
      <alignment horizontal="center" vertical="center"/>
    </xf>
    <xf numFmtId="0" fontId="15" fillId="0" borderId="1" xfId="0" applyFont="1" applyBorder="1" applyAlignment="1">
      <alignment horizontal="center" vertical="center" shrinkToFit="1"/>
    </xf>
    <xf numFmtId="0" fontId="15" fillId="0" borderId="2" xfId="0" applyFont="1" applyBorder="1">
      <alignment vertical="center"/>
    </xf>
    <xf numFmtId="0" fontId="3" fillId="0" borderId="68" xfId="0" applyFont="1" applyBorder="1" applyAlignment="1">
      <alignment horizontal="center" vertical="center"/>
    </xf>
    <xf numFmtId="0" fontId="0" fillId="0" borderId="21" xfId="0" applyBorder="1" applyAlignment="1">
      <alignment horizontal="center" vertical="center"/>
    </xf>
    <xf numFmtId="0" fontId="15" fillId="0" borderId="89" xfId="0" applyFont="1" applyBorder="1" applyAlignment="1">
      <alignment horizontal="center" vertical="center"/>
    </xf>
    <xf numFmtId="0" fontId="3" fillId="0" borderId="0" xfId="0" applyFont="1" applyFill="1" applyBorder="1" applyAlignment="1">
      <alignment horizontal="center" vertical="center"/>
    </xf>
    <xf numFmtId="176" fontId="9" fillId="0" borderId="2" xfId="0" applyNumberFormat="1" applyFont="1" applyBorder="1">
      <alignment vertical="center"/>
    </xf>
    <xf numFmtId="0" fontId="9" fillId="0" borderId="0" xfId="0" applyFont="1" applyFill="1" applyBorder="1">
      <alignment vertical="center"/>
    </xf>
    <xf numFmtId="0" fontId="9" fillId="0" borderId="14" xfId="0" applyFont="1" applyBorder="1" applyAlignment="1">
      <alignment horizontal="center" vertical="center" shrinkToFit="1"/>
    </xf>
    <xf numFmtId="0" fontId="0" fillId="0" borderId="44" xfId="0" applyBorder="1">
      <alignment vertical="center"/>
    </xf>
    <xf numFmtId="0" fontId="9" fillId="0" borderId="51" xfId="0" applyFont="1" applyBorder="1" applyAlignment="1">
      <alignment horizontal="center" vertical="center" shrinkToFit="1"/>
    </xf>
    <xf numFmtId="0" fontId="6" fillId="0" borderId="14" xfId="0" applyFont="1" applyBorder="1" applyAlignment="1">
      <alignment vertical="center" shrinkToFit="1"/>
    </xf>
    <xf numFmtId="0" fontId="0" fillId="0" borderId="14" xfId="0" applyFont="1" applyBorder="1" applyAlignment="1">
      <alignment horizontal="right" vertical="center" shrinkToFit="1"/>
    </xf>
    <xf numFmtId="0" fontId="0" fillId="0" borderId="90" xfId="0" applyFont="1" applyBorder="1" applyAlignment="1">
      <alignment vertical="center" shrinkToFit="1"/>
    </xf>
    <xf numFmtId="0" fontId="9" fillId="0" borderId="0" xfId="0" applyFont="1" applyFill="1" applyBorder="1" applyAlignment="1">
      <alignment horizontal="center" vertical="center"/>
    </xf>
    <xf numFmtId="0" fontId="6" fillId="0" borderId="9" xfId="0" applyFont="1" applyFill="1" applyBorder="1">
      <alignment vertical="center"/>
    </xf>
    <xf numFmtId="0" fontId="9" fillId="0" borderId="91" xfId="0" applyFont="1" applyBorder="1" applyAlignment="1">
      <alignment horizontal="center" vertical="center" shrinkToFit="1"/>
    </xf>
    <xf numFmtId="0" fontId="0" fillId="0" borderId="33" xfId="0" applyFont="1" applyBorder="1">
      <alignment vertical="center"/>
    </xf>
    <xf numFmtId="0" fontId="0" fillId="0" borderId="3" xfId="0" applyBorder="1" applyAlignment="1">
      <alignment vertical="center" shrinkToFit="1"/>
    </xf>
    <xf numFmtId="0" fontId="0" fillId="0" borderId="3" xfId="0" applyFont="1" applyBorder="1" applyAlignment="1">
      <alignment vertical="center" shrinkToFit="1"/>
    </xf>
    <xf numFmtId="176" fontId="6" fillId="0" borderId="0" xfId="0" applyNumberFormat="1" applyFont="1" applyBorder="1" applyAlignment="1">
      <alignment horizontal="center" vertical="center" shrinkToFit="1"/>
    </xf>
    <xf numFmtId="176" fontId="6" fillId="0" borderId="0" xfId="0" applyNumberFormat="1" applyFont="1" applyBorder="1" applyAlignment="1">
      <alignment horizontal="center" vertical="center"/>
    </xf>
    <xf numFmtId="176" fontId="6" fillId="0" borderId="0" xfId="0" applyNumberFormat="1" applyFont="1" applyFill="1" applyBorder="1">
      <alignment vertical="center"/>
    </xf>
    <xf numFmtId="0" fontId="15" fillId="0" borderId="43" xfId="0" applyFont="1" applyBorder="1" applyAlignment="1">
      <alignment horizontal="center" vertical="center" shrinkToFit="1"/>
    </xf>
    <xf numFmtId="0" fontId="6" fillId="0" borderId="44" xfId="0" applyFont="1" applyBorder="1" applyAlignment="1">
      <alignment horizontal="center" vertical="center" shrinkToFit="1"/>
    </xf>
    <xf numFmtId="0" fontId="0" fillId="0" borderId="8" xfId="0" applyFont="1" applyBorder="1">
      <alignment vertical="center"/>
    </xf>
    <xf numFmtId="0" fontId="6" fillId="0" borderId="53" xfId="0" applyFont="1" applyBorder="1" applyAlignment="1">
      <alignment horizontal="center" vertical="center"/>
    </xf>
    <xf numFmtId="0" fontId="6" fillId="0" borderId="54" xfId="0" applyFont="1" applyBorder="1">
      <alignment vertical="center"/>
    </xf>
    <xf numFmtId="178" fontId="15" fillId="0" borderId="0" xfId="0" applyNumberFormat="1" applyFont="1">
      <alignment vertical="center"/>
    </xf>
    <xf numFmtId="0" fontId="9" fillId="0" borderId="0" xfId="0" applyFont="1" applyAlignment="1">
      <alignment horizontal="center" vertical="center" shrinkToFit="1"/>
    </xf>
    <xf numFmtId="0" fontId="15" fillId="0" borderId="6" xfId="0" applyFont="1" applyBorder="1" applyAlignment="1">
      <alignment horizontal="center" vertical="center"/>
    </xf>
    <xf numFmtId="0" fontId="31" fillId="0" borderId="92" xfId="0" applyFont="1" applyBorder="1" applyAlignment="1">
      <alignment horizontal="center" vertical="center" shrinkToFit="1"/>
    </xf>
    <xf numFmtId="176" fontId="15" fillId="0" borderId="93" xfId="0" applyNumberFormat="1" applyFont="1" applyBorder="1">
      <alignment vertical="center"/>
    </xf>
    <xf numFmtId="0" fontId="15" fillId="0" borderId="94" xfId="0" applyFont="1" applyBorder="1" applyAlignment="1">
      <alignment horizontal="center" vertical="center"/>
    </xf>
    <xf numFmtId="0" fontId="3" fillId="0" borderId="95" xfId="0" applyFont="1" applyBorder="1" applyAlignment="1">
      <alignment horizontal="center" vertical="center"/>
    </xf>
    <xf numFmtId="0" fontId="15" fillId="0" borderId="96" xfId="0" applyFont="1" applyBorder="1" applyAlignment="1">
      <alignment horizontal="center" vertical="center"/>
    </xf>
    <xf numFmtId="0" fontId="3" fillId="0" borderId="97" xfId="0" applyFont="1" applyBorder="1" applyAlignment="1">
      <alignment horizontal="center" vertical="center"/>
    </xf>
    <xf numFmtId="176" fontId="15" fillId="0" borderId="98" xfId="0" applyNumberFormat="1" applyFont="1" applyBorder="1">
      <alignment vertical="center"/>
    </xf>
    <xf numFmtId="0" fontId="15" fillId="0" borderId="99" xfId="0" applyFont="1" applyBorder="1" applyAlignment="1">
      <alignment horizontal="center" vertical="center"/>
    </xf>
    <xf numFmtId="0" fontId="31" fillId="0" borderId="95" xfId="0" applyFont="1" applyBorder="1" applyAlignment="1">
      <alignment horizontal="center" vertical="center" shrinkToFit="1"/>
    </xf>
    <xf numFmtId="0" fontId="9" fillId="0" borderId="0" xfId="0" applyFont="1" applyBorder="1" applyAlignment="1">
      <alignment horizontal="center" vertical="center" shrinkToFit="1"/>
    </xf>
    <xf numFmtId="0" fontId="6" fillId="0" borderId="0" xfId="0" applyFont="1" applyBorder="1" applyAlignment="1">
      <alignment horizontal="center" vertical="center" shrinkToFit="1"/>
    </xf>
    <xf numFmtId="0" fontId="9" fillId="0" borderId="66" xfId="0" applyFont="1" applyBorder="1" applyAlignment="1">
      <alignment horizontal="center" vertical="center" shrinkToFit="1"/>
    </xf>
    <xf numFmtId="0" fontId="15" fillId="0" borderId="84" xfId="0" applyFont="1" applyBorder="1">
      <alignment vertical="center"/>
    </xf>
    <xf numFmtId="0" fontId="15" fillId="0" borderId="85" xfId="0" applyFont="1" applyBorder="1">
      <alignment vertical="center"/>
    </xf>
    <xf numFmtId="0" fontId="15" fillId="0" borderId="83" xfId="0" applyFont="1" applyBorder="1" applyAlignment="1">
      <alignment vertical="center" shrinkToFit="1"/>
    </xf>
    <xf numFmtId="0" fontId="0" fillId="0" borderId="84" xfId="0" applyBorder="1" applyAlignment="1">
      <alignment vertical="center" shrinkToFit="1"/>
    </xf>
    <xf numFmtId="0" fontId="0" fillId="0" borderId="67" xfId="0" applyBorder="1" applyAlignment="1">
      <alignment vertical="center" shrinkToFit="1"/>
    </xf>
    <xf numFmtId="0" fontId="31" fillId="0" borderId="100" xfId="0" applyFont="1" applyBorder="1" applyAlignment="1">
      <alignment horizontal="center" vertical="center" shrinkToFit="1"/>
    </xf>
    <xf numFmtId="0" fontId="3" fillId="0" borderId="101" xfId="0" applyFont="1" applyBorder="1" applyAlignment="1">
      <alignment horizontal="center" vertical="center"/>
    </xf>
    <xf numFmtId="0" fontId="3" fillId="0" borderId="102" xfId="0" applyFont="1" applyBorder="1" applyAlignment="1">
      <alignment horizontal="center" vertical="center"/>
    </xf>
    <xf numFmtId="0" fontId="15" fillId="0" borderId="103" xfId="0" applyFont="1" applyBorder="1" applyAlignment="1">
      <alignment horizontal="center" vertical="center"/>
    </xf>
    <xf numFmtId="0" fontId="15" fillId="0" borderId="104" xfId="0" applyFont="1" applyBorder="1" applyAlignment="1">
      <alignment horizontal="center" vertical="center"/>
    </xf>
    <xf numFmtId="176" fontId="15" fillId="0" borderId="105" xfId="0" applyNumberFormat="1" applyFont="1" applyBorder="1">
      <alignment vertical="center"/>
    </xf>
    <xf numFmtId="176" fontId="15" fillId="0" borderId="108" xfId="0" applyNumberFormat="1" applyFont="1" applyBorder="1">
      <alignment vertical="center"/>
    </xf>
    <xf numFmtId="0" fontId="15" fillId="0" borderId="109" xfId="0" applyFont="1" applyBorder="1" applyAlignment="1">
      <alignment horizontal="center" vertical="center"/>
    </xf>
    <xf numFmtId="0" fontId="15" fillId="0" borderId="110" xfId="0" applyFont="1" applyBorder="1" applyAlignment="1">
      <alignment horizontal="center" vertical="center"/>
    </xf>
    <xf numFmtId="0" fontId="9" fillId="0" borderId="64" xfId="0" applyFont="1" applyBorder="1" applyAlignment="1">
      <alignment horizontal="center" vertical="center"/>
    </xf>
    <xf numFmtId="0" fontId="3" fillId="0" borderId="15" xfId="0" applyFont="1" applyBorder="1" applyAlignment="1">
      <alignment horizontal="center" vertical="center"/>
    </xf>
    <xf numFmtId="0" fontId="3" fillId="0" borderId="65"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center" vertical="center" shrinkToFit="1"/>
    </xf>
    <xf numFmtId="0" fontId="0" fillId="0" borderId="32" xfId="0" applyBorder="1">
      <alignment vertical="center"/>
    </xf>
    <xf numFmtId="0" fontId="6" fillId="0" borderId="8" xfId="0" applyFont="1" applyBorder="1">
      <alignment vertical="center"/>
    </xf>
    <xf numFmtId="0" fontId="0" fillId="0" borderId="27" xfId="0" applyFont="1" applyBorder="1">
      <alignment vertical="center"/>
    </xf>
    <xf numFmtId="0" fontId="0" fillId="0" borderId="112" xfId="0" applyFont="1" applyBorder="1">
      <alignment vertical="center"/>
    </xf>
    <xf numFmtId="0" fontId="9" fillId="0" borderId="113"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0" xfId="0" applyFont="1" applyBorder="1" applyAlignment="1">
      <alignment horizontal="center" vertical="center"/>
    </xf>
    <xf numFmtId="0" fontId="9" fillId="0" borderId="41" xfId="0" applyFont="1" applyBorder="1" applyAlignment="1">
      <alignment horizontal="center" vertical="center" shrinkToFit="1"/>
    </xf>
    <xf numFmtId="0" fontId="0" fillId="0" borderId="57" xfId="0" applyBorder="1" applyAlignment="1">
      <alignment vertical="center" shrinkToFit="1"/>
    </xf>
    <xf numFmtId="0" fontId="3" fillId="0" borderId="0" xfId="0" applyFont="1" applyBorder="1" applyAlignment="1">
      <alignment horizontal="right" vertical="center" shrinkToFit="1"/>
    </xf>
    <xf numFmtId="0" fontId="3" fillId="0" borderId="0" xfId="0" applyFont="1" applyAlignment="1">
      <alignment vertical="center" shrinkToFit="1"/>
    </xf>
    <xf numFmtId="0" fontId="3" fillId="0" borderId="53" xfId="0" applyFont="1" applyBorder="1" applyAlignment="1">
      <alignment horizontal="center" vertical="center" shrinkToFit="1"/>
    </xf>
    <xf numFmtId="0" fontId="9" fillId="0" borderId="9" xfId="0" applyFont="1" applyFill="1" applyBorder="1">
      <alignment vertical="center"/>
    </xf>
    <xf numFmtId="0" fontId="9" fillId="0" borderId="47" xfId="0" applyFont="1" applyFill="1" applyBorder="1">
      <alignment vertical="center"/>
    </xf>
    <xf numFmtId="0" fontId="6" fillId="0" borderId="57" xfId="0" applyFont="1" applyBorder="1" applyAlignment="1">
      <alignment horizontal="right" vertical="center" shrinkToFit="1"/>
    </xf>
    <xf numFmtId="0" fontId="6" fillId="0" borderId="42" xfId="0" applyFont="1" applyBorder="1">
      <alignment vertical="center"/>
    </xf>
    <xf numFmtId="0" fontId="0" fillId="0" borderId="90" xfId="0" applyBorder="1" applyAlignment="1">
      <alignment vertical="center" shrinkToFit="1"/>
    </xf>
    <xf numFmtId="0" fontId="0" fillId="0" borderId="15" xfId="0" applyBorder="1" applyAlignment="1">
      <alignment vertical="center" shrinkToFit="1"/>
    </xf>
    <xf numFmtId="0" fontId="0" fillId="0" borderId="15" xfId="0" applyBorder="1">
      <alignment vertical="center"/>
    </xf>
    <xf numFmtId="0" fontId="0" fillId="0" borderId="114" xfId="0" applyBorder="1">
      <alignment vertical="center"/>
    </xf>
    <xf numFmtId="0" fontId="0" fillId="0" borderId="9" xfId="0" applyFont="1" applyBorder="1" applyAlignment="1">
      <alignment vertical="center" shrinkToFit="1"/>
    </xf>
    <xf numFmtId="0" fontId="9" fillId="0" borderId="25" xfId="0" applyFont="1" applyFill="1" applyBorder="1">
      <alignment vertical="center"/>
    </xf>
    <xf numFmtId="177" fontId="6" fillId="0" borderId="53" xfId="0" applyNumberFormat="1" applyFont="1" applyFill="1" applyBorder="1">
      <alignment vertical="center"/>
    </xf>
    <xf numFmtId="178" fontId="6" fillId="0" borderId="53" xfId="0" applyNumberFormat="1" applyFont="1" applyBorder="1">
      <alignment vertical="center"/>
    </xf>
    <xf numFmtId="177" fontId="6" fillId="0" borderId="53" xfId="0" applyNumberFormat="1" applyFont="1" applyBorder="1">
      <alignment vertical="center"/>
    </xf>
    <xf numFmtId="0" fontId="9" fillId="0" borderId="54" xfId="0" applyFont="1" applyFill="1" applyBorder="1">
      <alignment vertical="center"/>
    </xf>
    <xf numFmtId="203" fontId="15" fillId="0" borderId="0" xfId="0" applyNumberFormat="1" applyFont="1" applyAlignment="1">
      <alignment horizontal="center" vertical="center"/>
    </xf>
    <xf numFmtId="181" fontId="15" fillId="0" borderId="0" xfId="0" applyNumberFormat="1" applyFont="1">
      <alignment vertical="center"/>
    </xf>
    <xf numFmtId="176" fontId="3" fillId="0" borderId="31" xfId="0" applyNumberFormat="1" applyFont="1" applyBorder="1">
      <alignment vertical="center"/>
    </xf>
    <xf numFmtId="178" fontId="3" fillId="0" borderId="31" xfId="0" applyNumberFormat="1" applyFont="1" applyBorder="1">
      <alignment vertical="center"/>
    </xf>
    <xf numFmtId="201" fontId="3" fillId="0" borderId="31" xfId="0" applyNumberFormat="1" applyFont="1" applyBorder="1">
      <alignment vertical="center"/>
    </xf>
    <xf numFmtId="195" fontId="3" fillId="0" borderId="31" xfId="0" applyNumberFormat="1" applyFont="1" applyBorder="1">
      <alignment vertical="center"/>
    </xf>
    <xf numFmtId="0" fontId="3" fillId="0" borderId="0" xfId="0" applyFont="1" applyAlignment="1">
      <alignment horizontal="center" vertical="center"/>
    </xf>
    <xf numFmtId="201" fontId="3" fillId="0" borderId="0" xfId="0" applyNumberFormat="1" applyFont="1">
      <alignment vertical="center"/>
    </xf>
    <xf numFmtId="202" fontId="3" fillId="0" borderId="0" xfId="0" applyNumberFormat="1" applyFont="1">
      <alignment vertical="center"/>
    </xf>
    <xf numFmtId="176" fontId="3" fillId="0" borderId="0" xfId="0" applyNumberFormat="1" applyFont="1">
      <alignment vertical="center"/>
    </xf>
    <xf numFmtId="178" fontId="3" fillId="0" borderId="0" xfId="0" applyNumberFormat="1" applyFont="1">
      <alignment vertical="center"/>
    </xf>
    <xf numFmtId="195" fontId="3" fillId="0" borderId="0" xfId="0" applyNumberFormat="1" applyFont="1" applyBorder="1">
      <alignment vertical="center"/>
    </xf>
    <xf numFmtId="0" fontId="0" fillId="0" borderId="53" xfId="0" applyBorder="1">
      <alignment vertical="center"/>
    </xf>
    <xf numFmtId="0" fontId="0" fillId="0" borderId="0" xfId="0" applyAlignment="1">
      <alignment horizontal="center" vertical="center"/>
    </xf>
    <xf numFmtId="0" fontId="15" fillId="0" borderId="0" xfId="0" applyFont="1" applyAlignment="1">
      <alignment horizontal="center" vertical="center" shrinkToFit="1"/>
    </xf>
    <xf numFmtId="0" fontId="15" fillId="0" borderId="0" xfId="0" applyFont="1" applyBorder="1" applyAlignment="1">
      <alignment horizontal="center" vertical="center" shrinkToFit="1"/>
    </xf>
    <xf numFmtId="0" fontId="15" fillId="0" borderId="14" xfId="0" applyFont="1" applyBorder="1" applyAlignment="1">
      <alignment vertical="center" wrapText="1" shrinkToFit="1"/>
    </xf>
    <xf numFmtId="0" fontId="0" fillId="0" borderId="0" xfId="0" applyBorder="1" applyAlignment="1">
      <alignment horizontal="center" vertical="center" shrinkToFit="1"/>
    </xf>
    <xf numFmtId="0" fontId="6" fillId="0" borderId="0" xfId="0" applyFont="1" applyAlignment="1">
      <alignment horizontal="center" vertical="center" shrinkToFit="1"/>
    </xf>
    <xf numFmtId="0" fontId="6" fillId="0" borderId="0" xfId="0" applyFont="1" applyBorder="1" applyAlignment="1">
      <alignment horizontal="center" vertical="center" shrinkToFit="1"/>
    </xf>
    <xf numFmtId="0" fontId="15" fillId="0" borderId="6" xfId="0" applyFont="1" applyBorder="1" applyAlignment="1">
      <alignment horizontal="center" vertical="center"/>
    </xf>
    <xf numFmtId="0" fontId="15" fillId="0" borderId="0" xfId="0" applyFont="1" applyAlignment="1">
      <alignment vertical="center"/>
    </xf>
    <xf numFmtId="0" fontId="0" fillId="0" borderId="0" xfId="0" applyAlignment="1">
      <alignment vertical="center" shrinkToFit="1"/>
    </xf>
    <xf numFmtId="0" fontId="0" fillId="0" borderId="0" xfId="0" applyBorder="1" applyAlignment="1">
      <alignment vertical="center"/>
    </xf>
    <xf numFmtId="0" fontId="3" fillId="0" borderId="0"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vertical="center" shrinkToFit="1"/>
    </xf>
    <xf numFmtId="0" fontId="9" fillId="0" borderId="0" xfId="0" applyFont="1" applyAlignment="1">
      <alignment horizontal="center" vertical="center" shrinkToFit="1"/>
    </xf>
    <xf numFmtId="0" fontId="9" fillId="0" borderId="0" xfId="0" applyFont="1" applyBorder="1" applyAlignment="1">
      <alignment horizontal="right" vertical="center" shrinkToFit="1"/>
    </xf>
    <xf numFmtId="0" fontId="0" fillId="0" borderId="54" xfId="0" applyFont="1" applyBorder="1" applyAlignment="1">
      <alignment vertical="center" shrinkToFit="1"/>
    </xf>
    <xf numFmtId="0" fontId="15" fillId="0" borderId="31" xfId="0" applyFont="1" applyBorder="1" applyAlignment="1">
      <alignment horizontal="center" vertical="center" shrinkToFit="1"/>
    </xf>
    <xf numFmtId="204" fontId="6" fillId="0" borderId="31" xfId="0" applyNumberFormat="1" applyFont="1" applyBorder="1" applyAlignment="1">
      <alignment horizontal="center" vertical="center" shrinkToFit="1"/>
    </xf>
    <xf numFmtId="0" fontId="0" fillId="0" borderId="31" xfId="0" applyFont="1" applyBorder="1" applyAlignment="1">
      <alignment horizontal="center" vertical="center" shrinkToFit="1"/>
    </xf>
    <xf numFmtId="0" fontId="0" fillId="0" borderId="32" xfId="0" applyFont="1" applyBorder="1" applyAlignment="1">
      <alignment vertical="center" shrinkToFit="1"/>
    </xf>
    <xf numFmtId="0" fontId="15" fillId="0" borderId="0" xfId="0" applyFont="1" applyBorder="1" applyAlignment="1">
      <alignment vertical="center" shrinkToFit="1"/>
    </xf>
    <xf numFmtId="0" fontId="0" fillId="0" borderId="53" xfId="0" applyBorder="1" applyAlignment="1">
      <alignment vertical="center" shrinkToFit="1"/>
    </xf>
    <xf numFmtId="0" fontId="15" fillId="0" borderId="0" xfId="0" applyFont="1" applyBorder="1" applyAlignment="1">
      <alignment horizontal="center" vertical="center" shrinkToFit="1"/>
    </xf>
    <xf numFmtId="0" fontId="15" fillId="0" borderId="0" xfId="0" applyFont="1" applyAlignment="1">
      <alignment horizontal="center" vertical="center" shrinkToFit="1"/>
    </xf>
    <xf numFmtId="0" fontId="15" fillId="0" borderId="5" xfId="0" applyFont="1" applyBorder="1" applyAlignment="1">
      <alignment horizontal="center" vertical="center" shrinkToFit="1"/>
    </xf>
    <xf numFmtId="0" fontId="9" fillId="0" borderId="0" xfId="0" applyFont="1" applyBorder="1" applyAlignment="1">
      <alignment horizontal="center" vertical="center" shrinkToFit="1"/>
    </xf>
    <xf numFmtId="0" fontId="6" fillId="0" borderId="0" xfId="0" applyFont="1" applyBorder="1" applyAlignment="1">
      <alignment horizontal="center" vertical="center" shrinkToFit="1"/>
    </xf>
    <xf numFmtId="0" fontId="0" fillId="0" borderId="0" xfId="0" applyAlignment="1">
      <alignment vertical="center" shrinkToFit="1"/>
    </xf>
    <xf numFmtId="0" fontId="6" fillId="0" borderId="0" xfId="0" applyFont="1" applyBorder="1" applyAlignment="1">
      <alignment vertical="center" shrinkToFit="1"/>
    </xf>
    <xf numFmtId="0" fontId="6" fillId="0" borderId="0" xfId="0" applyFont="1" applyAlignment="1">
      <alignment horizontal="center" vertical="center"/>
    </xf>
    <xf numFmtId="0" fontId="3" fillId="0" borderId="0" xfId="0" applyFont="1" applyBorder="1" applyAlignment="1">
      <alignment horizontal="center" vertical="center" shrinkToFit="1"/>
    </xf>
    <xf numFmtId="177" fontId="6" fillId="0" borderId="53" xfId="0" applyNumberFormat="1" applyFont="1" applyBorder="1" applyAlignment="1">
      <alignment horizontal="center" vertical="center" shrinkToFit="1"/>
    </xf>
    <xf numFmtId="0" fontId="6" fillId="0" borderId="53" xfId="0" applyFont="1" applyBorder="1" applyAlignment="1">
      <alignment horizontal="right" vertical="center"/>
    </xf>
    <xf numFmtId="0" fontId="6" fillId="0" borderId="2" xfId="0" applyFont="1" applyBorder="1" applyAlignment="1">
      <alignment horizontal="center" vertical="center"/>
    </xf>
    <xf numFmtId="11" fontId="6" fillId="0" borderId="9" xfId="0" applyNumberFormat="1" applyFont="1" applyBorder="1">
      <alignment vertical="center"/>
    </xf>
    <xf numFmtId="0" fontId="0" fillId="0" borderId="115" xfId="0" applyFont="1" applyBorder="1" applyAlignment="1">
      <alignment vertical="center" shrinkToFit="1"/>
    </xf>
    <xf numFmtId="0" fontId="15" fillId="0" borderId="116" xfId="0" applyFont="1" applyBorder="1" applyAlignment="1">
      <alignment horizontal="right" vertical="center" shrinkToFit="1"/>
    </xf>
    <xf numFmtId="0" fontId="6" fillId="0" borderId="117" xfId="0" applyFont="1" applyBorder="1" applyAlignment="1">
      <alignment horizontal="right" vertical="center"/>
    </xf>
    <xf numFmtId="177" fontId="6" fillId="0" borderId="117" xfId="0" applyNumberFormat="1" applyFont="1" applyBorder="1">
      <alignment vertical="center"/>
    </xf>
    <xf numFmtId="0" fontId="6" fillId="0" borderId="117" xfId="0" applyFont="1" applyBorder="1">
      <alignment vertical="center"/>
    </xf>
    <xf numFmtId="0" fontId="0" fillId="0" borderId="117" xfId="0" applyFont="1" applyBorder="1">
      <alignment vertical="center"/>
    </xf>
    <xf numFmtId="0" fontId="6" fillId="0" borderId="118" xfId="0" applyFont="1" applyBorder="1" applyAlignment="1">
      <alignment horizontal="center" vertical="center"/>
    </xf>
    <xf numFmtId="177" fontId="3" fillId="0" borderId="0" xfId="0" applyNumberFormat="1" applyFont="1">
      <alignment vertical="center"/>
    </xf>
    <xf numFmtId="0" fontId="3" fillId="0" borderId="123" xfId="0" applyFont="1" applyBorder="1" applyAlignment="1">
      <alignment horizontal="center" vertical="center"/>
    </xf>
    <xf numFmtId="0" fontId="3" fillId="0" borderId="124" xfId="0" applyFont="1" applyBorder="1" applyAlignment="1">
      <alignment horizontal="center" vertical="center"/>
    </xf>
    <xf numFmtId="0" fontId="3" fillId="0" borderId="98" xfId="0" applyFont="1" applyBorder="1" applyAlignment="1">
      <alignment horizontal="center" vertical="center"/>
    </xf>
    <xf numFmtId="0" fontId="15" fillId="0" borderId="125" xfId="0" applyFont="1" applyBorder="1" applyAlignment="1">
      <alignment horizontal="center" vertical="center"/>
    </xf>
    <xf numFmtId="0" fontId="3" fillId="0" borderId="127" xfId="0" applyFont="1" applyBorder="1" applyAlignment="1">
      <alignment horizontal="center" vertical="center"/>
    </xf>
    <xf numFmtId="176" fontId="15" fillId="0" borderId="63" xfId="0" applyNumberFormat="1" applyFont="1" applyBorder="1">
      <alignment vertical="center"/>
    </xf>
    <xf numFmtId="0" fontId="0" fillId="0" borderId="68" xfId="0" applyBorder="1" applyAlignment="1">
      <alignment vertical="center" shrinkToFit="1"/>
    </xf>
    <xf numFmtId="0" fontId="31" fillId="0" borderId="128" xfId="0" applyFont="1" applyBorder="1" applyAlignment="1">
      <alignment horizontal="center" vertical="center" shrinkToFit="1"/>
    </xf>
    <xf numFmtId="0" fontId="9" fillId="0" borderId="130" xfId="0" applyFont="1" applyBorder="1" applyAlignment="1">
      <alignment horizontal="center" vertical="center" shrinkToFit="1"/>
    </xf>
    <xf numFmtId="0" fontId="9" fillId="0" borderId="130" xfId="0" applyFont="1" applyBorder="1" applyAlignment="1">
      <alignment horizontal="center" vertical="center"/>
    </xf>
    <xf numFmtId="0" fontId="15" fillId="0" borderId="0" xfId="0" applyFont="1" applyBorder="1" applyAlignment="1">
      <alignment horizontal="center" vertical="center" shrinkToFit="1"/>
    </xf>
    <xf numFmtId="0" fontId="0" fillId="0" borderId="0" xfId="0" applyAlignment="1">
      <alignment vertical="center" shrinkToFit="1"/>
    </xf>
    <xf numFmtId="0" fontId="15" fillId="0" borderId="41" xfId="0" applyFont="1" applyBorder="1" applyAlignment="1">
      <alignment horizontal="center" vertical="center" shrinkToFit="1"/>
    </xf>
    <xf numFmtId="0" fontId="0" fillId="0" borderId="0" xfId="0" applyBorder="1" applyAlignment="1">
      <alignment horizontal="right" vertical="center" shrinkToFit="1"/>
    </xf>
    <xf numFmtId="0" fontId="15" fillId="0" borderId="0" xfId="0" applyFont="1" applyAlignment="1">
      <alignment horizontal="center" vertical="center" shrinkToFit="1"/>
    </xf>
    <xf numFmtId="0" fontId="0" fillId="0" borderId="0" xfId="0" applyAlignment="1">
      <alignment vertical="center" shrinkToFit="1"/>
    </xf>
    <xf numFmtId="0" fontId="24" fillId="0" borderId="119" xfId="0" applyFont="1" applyBorder="1" applyAlignment="1">
      <alignment horizontal="center" vertical="center"/>
    </xf>
    <xf numFmtId="0" fontId="0" fillId="0" borderId="131" xfId="0" applyBorder="1" applyAlignment="1">
      <alignment vertical="center" shrinkToFit="1"/>
    </xf>
    <xf numFmtId="0" fontId="3" fillId="0" borderId="130" xfId="0" applyFont="1" applyBorder="1" applyAlignment="1">
      <alignment horizontal="center" vertical="center" shrinkToFit="1"/>
    </xf>
    <xf numFmtId="0" fontId="9" fillId="0" borderId="127" xfId="0" applyFont="1" applyBorder="1" applyAlignment="1">
      <alignment horizontal="center" vertical="center" shrinkToFit="1"/>
    </xf>
    <xf numFmtId="0" fontId="33" fillId="0" borderId="2" xfId="0" applyFont="1" applyBorder="1" applyAlignment="1">
      <alignment horizontal="center" vertical="center"/>
    </xf>
    <xf numFmtId="0" fontId="33" fillId="0" borderId="132" xfId="0" applyFont="1" applyBorder="1" applyAlignment="1">
      <alignment horizontal="center" vertical="center"/>
    </xf>
    <xf numFmtId="0" fontId="33" fillId="0" borderId="63" xfId="0" applyFont="1" applyBorder="1" applyAlignment="1">
      <alignment horizontal="center" vertical="center"/>
    </xf>
    <xf numFmtId="0" fontId="33" fillId="0" borderId="111" xfId="0" applyFont="1" applyBorder="1" applyAlignment="1">
      <alignment horizontal="center" vertical="center"/>
    </xf>
    <xf numFmtId="0" fontId="25" fillId="0" borderId="6" xfId="0" applyFont="1" applyBorder="1" applyAlignment="1">
      <alignment horizontal="center" vertical="center" shrinkToFit="1"/>
    </xf>
    <xf numFmtId="0" fontId="15" fillId="0" borderId="0" xfId="0" applyFont="1" applyAlignment="1">
      <alignment horizontal="center" vertical="center" shrinkToFit="1"/>
    </xf>
    <xf numFmtId="0" fontId="15" fillId="0" borderId="5" xfId="0" applyFont="1" applyBorder="1" applyAlignment="1">
      <alignment horizontal="center" vertical="center" shrinkToFit="1"/>
    </xf>
    <xf numFmtId="0" fontId="6" fillId="0" borderId="6" xfId="0" applyFont="1" applyBorder="1" applyAlignment="1">
      <alignment horizontal="center" vertical="center"/>
    </xf>
    <xf numFmtId="0" fontId="0" fillId="0" borderId="6" xfId="0" applyBorder="1" applyAlignment="1">
      <alignment vertical="center"/>
    </xf>
    <xf numFmtId="0" fontId="11" fillId="0" borderId="8" xfId="0" applyFont="1" applyBorder="1" applyAlignment="1">
      <alignment vertical="center" wrapText="1" shrinkToFit="1"/>
    </xf>
    <xf numFmtId="0" fontId="15" fillId="0" borderId="6" xfId="0" applyFont="1" applyBorder="1" applyAlignment="1">
      <alignment horizontal="center" vertical="center"/>
    </xf>
    <xf numFmtId="0" fontId="11" fillId="0" borderId="6" xfId="0" applyFont="1" applyBorder="1" applyAlignment="1">
      <alignment horizontal="center" vertical="center" shrinkToFit="1"/>
    </xf>
    <xf numFmtId="0" fontId="3" fillId="0" borderId="0" xfId="0" applyFont="1" applyBorder="1" applyAlignment="1">
      <alignment vertical="center" shrinkToFit="1"/>
    </xf>
    <xf numFmtId="0" fontId="3" fillId="0" borderId="131" xfId="0" applyFont="1" applyBorder="1" applyAlignment="1">
      <alignment horizontal="center" vertical="center" shrinkToFit="1"/>
    </xf>
    <xf numFmtId="0" fontId="33" fillId="0" borderId="125" xfId="0" applyFont="1" applyBorder="1" applyAlignment="1">
      <alignment horizontal="center" vertical="center"/>
    </xf>
    <xf numFmtId="0" fontId="9" fillId="0" borderId="0" xfId="0" applyFont="1" applyAlignment="1">
      <alignment horizontal="right" vertical="center"/>
    </xf>
    <xf numFmtId="0" fontId="15" fillId="0" borderId="11" xfId="0" applyFont="1" applyBorder="1" applyAlignment="1">
      <alignment horizontal="center" vertical="center" shrinkToFit="1"/>
    </xf>
    <xf numFmtId="0" fontId="9" fillId="0" borderId="135" xfId="0" applyFont="1" applyBorder="1" applyAlignment="1">
      <alignment horizontal="center" vertical="center" shrinkToFit="1"/>
    </xf>
    <xf numFmtId="0" fontId="0" fillId="0" borderId="24" xfId="0" applyFont="1" applyBorder="1">
      <alignment vertical="center"/>
    </xf>
    <xf numFmtId="0" fontId="3" fillId="0" borderId="5" xfId="0" applyFont="1" applyBorder="1" applyAlignment="1">
      <alignment horizontal="center" vertical="center" shrinkToFit="1"/>
    </xf>
    <xf numFmtId="0" fontId="3" fillId="0" borderId="5" xfId="0" applyFont="1" applyBorder="1" applyAlignment="1">
      <alignment horizontal="center" vertical="center"/>
    </xf>
    <xf numFmtId="0" fontId="9" fillId="0" borderId="5" xfId="0" applyFont="1" applyBorder="1" applyAlignment="1">
      <alignment horizontal="center" vertical="center" shrinkToFit="1"/>
    </xf>
    <xf numFmtId="0" fontId="3" fillId="0" borderId="8" xfId="0" applyFont="1" applyBorder="1" applyAlignment="1">
      <alignment horizontal="center" vertical="center" wrapText="1" shrinkToFit="1"/>
    </xf>
    <xf numFmtId="0" fontId="3" fillId="0" borderId="8" xfId="0" applyFont="1" applyBorder="1" applyAlignment="1">
      <alignment vertical="center" shrinkToFit="1"/>
    </xf>
    <xf numFmtId="0" fontId="3" fillId="0" borderId="8" xfId="0" applyFont="1" applyBorder="1" applyAlignment="1">
      <alignment vertical="center"/>
    </xf>
    <xf numFmtId="0" fontId="3" fillId="0" borderId="8" xfId="0" applyFont="1" applyBorder="1" applyAlignment="1">
      <alignment horizontal="center" vertical="center"/>
    </xf>
    <xf numFmtId="0" fontId="0" fillId="0" borderId="6" xfId="0" applyBorder="1" applyAlignment="1">
      <alignment horizontal="center" vertical="center"/>
    </xf>
    <xf numFmtId="178" fontId="15" fillId="0" borderId="0" xfId="0" applyNumberFormat="1" applyFont="1" applyFill="1" applyBorder="1" applyAlignment="1">
      <alignment horizontal="center" vertical="center" shrinkToFit="1"/>
    </xf>
    <xf numFmtId="184" fontId="15" fillId="0" borderId="0" xfId="0" applyNumberFormat="1" applyFont="1" applyFill="1" applyBorder="1" applyAlignment="1">
      <alignment horizontal="center" vertical="center" shrinkToFit="1"/>
    </xf>
    <xf numFmtId="182" fontId="15" fillId="0" borderId="0" xfId="0" applyNumberFormat="1" applyFont="1" applyFill="1" applyBorder="1">
      <alignment vertical="center"/>
    </xf>
    <xf numFmtId="0" fontId="15" fillId="0" borderId="0" xfId="0" applyFont="1" applyFill="1" applyBorder="1" applyAlignment="1">
      <alignment vertical="center" shrinkToFit="1"/>
    </xf>
    <xf numFmtId="0" fontId="15" fillId="0" borderId="0" xfId="0" applyFont="1" applyFill="1">
      <alignment vertical="center"/>
    </xf>
    <xf numFmtId="0" fontId="15" fillId="0" borderId="9" xfId="0" applyFont="1" applyFill="1" applyBorder="1">
      <alignment vertical="center"/>
    </xf>
    <xf numFmtId="0" fontId="15" fillId="0" borderId="0" xfId="0" applyFont="1" applyFill="1" applyBorder="1" applyAlignment="1">
      <alignment horizontal="right" vertical="center"/>
    </xf>
    <xf numFmtId="0" fontId="0" fillId="0" borderId="13" xfId="0" applyBorder="1" applyAlignment="1">
      <alignment vertical="center" shrinkToFit="1"/>
    </xf>
    <xf numFmtId="0" fontId="6" fillId="0" borderId="60" xfId="0" applyFont="1" applyBorder="1" applyAlignment="1">
      <alignment vertical="center" shrinkToFit="1"/>
    </xf>
    <xf numFmtId="0" fontId="3" fillId="0" borderId="6" xfId="0" applyFont="1" applyFill="1" applyBorder="1" applyAlignment="1">
      <alignment horizontal="center" vertical="center"/>
    </xf>
    <xf numFmtId="0" fontId="0" fillId="0" borderId="6" xfId="0" applyFill="1" applyBorder="1">
      <alignment vertical="center"/>
    </xf>
    <xf numFmtId="0" fontId="15" fillId="0" borderId="0" xfId="0" applyFont="1" applyFill="1" applyBorder="1" applyAlignment="1">
      <alignment horizontal="right" vertical="center" shrinkToFit="1"/>
    </xf>
    <xf numFmtId="177" fontId="6" fillId="0" borderId="0" xfId="0" applyNumberFormat="1" applyFont="1" applyFill="1" applyBorder="1" applyAlignment="1">
      <alignment horizontal="center" vertical="center"/>
    </xf>
    <xf numFmtId="183" fontId="6" fillId="0" borderId="0" xfId="0" applyNumberFormat="1" applyFont="1" applyFill="1" applyBorder="1" applyAlignment="1">
      <alignment horizontal="left" vertical="center"/>
    </xf>
    <xf numFmtId="0" fontId="6" fillId="0" borderId="0" xfId="0" quotePrefix="1" applyFont="1" applyFill="1" applyBorder="1">
      <alignment vertical="center"/>
    </xf>
    <xf numFmtId="0" fontId="0" fillId="0" borderId="11" xfId="0" applyFill="1" applyBorder="1">
      <alignment vertical="center"/>
    </xf>
    <xf numFmtId="0" fontId="25" fillId="0" borderId="6" xfId="0" applyFont="1" applyFill="1" applyBorder="1" applyAlignment="1">
      <alignment horizontal="center" vertical="center" shrinkToFit="1"/>
    </xf>
    <xf numFmtId="0" fontId="6" fillId="0" borderId="0" xfId="0" applyFont="1" applyFill="1">
      <alignment vertical="center"/>
    </xf>
    <xf numFmtId="0" fontId="6" fillId="0" borderId="0" xfId="0" applyFont="1" applyFill="1" applyBorder="1" applyAlignment="1">
      <alignment horizontal="right" vertical="center"/>
    </xf>
    <xf numFmtId="176" fontId="6" fillId="0" borderId="0" xfId="0" applyNumberFormat="1" applyFont="1" applyFill="1">
      <alignment vertical="center"/>
    </xf>
    <xf numFmtId="178" fontId="6" fillId="0" borderId="0" xfId="0" applyNumberFormat="1" applyFont="1" applyFill="1" applyBorder="1" applyAlignment="1">
      <alignment horizontal="center" vertical="center" shrinkToFit="1"/>
    </xf>
    <xf numFmtId="184" fontId="6" fillId="0" borderId="0" xfId="0" applyNumberFormat="1" applyFont="1" applyFill="1" applyBorder="1" applyAlignment="1">
      <alignment horizontal="center" vertical="center" shrinkToFit="1"/>
    </xf>
    <xf numFmtId="0" fontId="6" fillId="0" borderId="0" xfId="0" applyFont="1" applyFill="1" applyAlignment="1">
      <alignment horizontal="right" vertical="center"/>
    </xf>
    <xf numFmtId="0" fontId="0" fillId="0" borderId="0" xfId="0" applyFill="1">
      <alignment vertical="center"/>
    </xf>
    <xf numFmtId="0" fontId="15"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9" xfId="0" applyBorder="1" applyAlignment="1">
      <alignment horizontal="center" vertical="center" shrinkToFit="1"/>
    </xf>
    <xf numFmtId="0" fontId="6" fillId="0" borderId="3"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0" xfId="0" applyFont="1" applyAlignment="1">
      <alignment horizontal="center" vertical="center" wrapText="1"/>
    </xf>
    <xf numFmtId="0" fontId="0" fillId="0" borderId="0" xfId="0" applyFont="1" applyAlignment="1">
      <alignment horizontal="center" vertical="top"/>
    </xf>
    <xf numFmtId="0" fontId="11" fillId="0" borderId="0" xfId="0" applyFont="1" applyBorder="1" applyAlignment="1">
      <alignment horizontal="center" vertical="center"/>
    </xf>
    <xf numFmtId="0" fontId="0" fillId="0" borderId="9" xfId="0" applyBorder="1" applyAlignment="1">
      <alignment horizontal="center" vertical="center"/>
    </xf>
    <xf numFmtId="0" fontId="11" fillId="0" borderId="0" xfId="0" applyFont="1" applyBorder="1" applyAlignment="1">
      <alignment vertical="center"/>
    </xf>
    <xf numFmtId="0" fontId="12" fillId="0" borderId="0" xfId="0" applyFont="1" applyBorder="1" applyAlignment="1">
      <alignment horizontal="center" vertical="center" shrinkToFit="1"/>
    </xf>
    <xf numFmtId="0" fontId="3" fillId="0" borderId="0" xfId="0" applyFont="1" applyBorder="1" applyAlignment="1">
      <alignment horizontal="center" vertical="center"/>
    </xf>
    <xf numFmtId="0" fontId="6" fillId="0" borderId="0" xfId="0" applyFont="1" applyBorder="1" applyAlignment="1">
      <alignment horizontal="center" vertical="center"/>
    </xf>
    <xf numFmtId="0" fontId="3" fillId="0" borderId="0" xfId="0" applyFont="1" applyBorder="1" applyAlignment="1">
      <alignment horizontal="center" vertical="center" shrinkToFit="1"/>
    </xf>
    <xf numFmtId="0" fontId="15" fillId="0" borderId="0" xfId="0" applyFont="1" applyAlignment="1">
      <alignment horizontal="center" vertical="center" shrinkToFit="1"/>
    </xf>
    <xf numFmtId="0" fontId="15" fillId="0" borderId="0" xfId="0" applyFont="1" applyBorder="1" applyAlignment="1">
      <alignment horizontal="center" vertical="center" shrinkToFit="1"/>
    </xf>
    <xf numFmtId="0" fontId="15" fillId="0" borderId="14" xfId="0" applyFont="1" applyBorder="1" applyAlignment="1">
      <alignment vertical="center" wrapText="1" shrinkToFit="1"/>
    </xf>
    <xf numFmtId="0" fontId="0" fillId="0" borderId="0" xfId="0" applyBorder="1" applyAlignment="1">
      <alignment horizontal="center" vertical="center" shrinkToFit="1"/>
    </xf>
    <xf numFmtId="0" fontId="6" fillId="0" borderId="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0" xfId="0" applyFont="1" applyAlignment="1">
      <alignment horizontal="center" vertical="center" wrapText="1"/>
    </xf>
    <xf numFmtId="0" fontId="0" fillId="0" borderId="9" xfId="0" applyBorder="1" applyAlignment="1">
      <alignment horizontal="center" vertical="center"/>
    </xf>
    <xf numFmtId="0" fontId="0" fillId="0" borderId="0" xfId="0" applyAlignment="1">
      <alignment horizontal="center" vertical="center" wrapText="1"/>
    </xf>
    <xf numFmtId="0" fontId="0" fillId="0" borderId="0" xfId="0" applyBorder="1" applyAlignment="1">
      <alignment horizontal="center" vertical="center"/>
    </xf>
    <xf numFmtId="0" fontId="0" fillId="0" borderId="9" xfId="0" applyBorder="1" applyAlignment="1">
      <alignment horizontal="center" vertical="center" wrapText="1"/>
    </xf>
    <xf numFmtId="0" fontId="0" fillId="0" borderId="131" xfId="0" applyBorder="1">
      <alignment vertical="center"/>
    </xf>
    <xf numFmtId="0" fontId="9" fillId="0" borderId="125" xfId="0" applyFont="1" applyBorder="1" applyAlignment="1">
      <alignment horizontal="center" vertical="center"/>
    </xf>
    <xf numFmtId="0" fontId="15" fillId="0" borderId="126" xfId="0" applyFont="1" applyBorder="1" applyAlignment="1">
      <alignment horizontal="center" vertical="center"/>
    </xf>
    <xf numFmtId="0" fontId="15" fillId="0" borderId="130" xfId="0" applyFont="1" applyBorder="1" applyAlignment="1">
      <alignment horizontal="center" vertical="center" shrinkToFit="1"/>
    </xf>
    <xf numFmtId="0" fontId="15" fillId="0" borderId="131" xfId="0" applyFont="1" applyBorder="1" applyAlignment="1">
      <alignment horizontal="center" vertical="center"/>
    </xf>
    <xf numFmtId="0" fontId="15" fillId="0" borderId="125" xfId="0" applyFont="1" applyBorder="1">
      <alignment vertical="center"/>
    </xf>
    <xf numFmtId="0" fontId="15" fillId="0" borderId="127" xfId="0" applyFont="1" applyBorder="1" applyAlignment="1">
      <alignment horizontal="center" vertical="center"/>
    </xf>
    <xf numFmtId="0" fontId="9" fillId="0" borderId="6" xfId="0" applyFont="1" applyFill="1" applyBorder="1" applyAlignment="1">
      <alignment horizontal="center" vertical="center"/>
    </xf>
    <xf numFmtId="0" fontId="6" fillId="0" borderId="8" xfId="0" applyFont="1" applyBorder="1" applyAlignment="1">
      <alignment horizontal="center" vertical="center" shrinkToFit="1"/>
    </xf>
    <xf numFmtId="0" fontId="15" fillId="0" borderId="8" xfId="0" applyFont="1" applyBorder="1">
      <alignment vertical="center"/>
    </xf>
    <xf numFmtId="0" fontId="15" fillId="0" borderId="8" xfId="0" applyFont="1" applyBorder="1" applyAlignment="1">
      <alignment horizontal="center" vertical="center"/>
    </xf>
    <xf numFmtId="0" fontId="15" fillId="0" borderId="10" xfId="0" applyFont="1" applyBorder="1">
      <alignment vertical="center"/>
    </xf>
    <xf numFmtId="190" fontId="15" fillId="0" borderId="11" xfId="0" applyNumberFormat="1" applyFont="1" applyBorder="1">
      <alignment vertical="center"/>
    </xf>
    <xf numFmtId="0" fontId="15" fillId="0" borderId="12" xfId="0" applyFont="1" applyBorder="1" applyAlignment="1">
      <alignment horizontal="center" vertical="center"/>
    </xf>
    <xf numFmtId="0" fontId="15" fillId="0" borderId="5" xfId="0" applyFont="1" applyBorder="1">
      <alignment vertical="center"/>
    </xf>
    <xf numFmtId="0" fontId="15" fillId="5" borderId="2" xfId="0" applyFont="1" applyFill="1" applyBorder="1">
      <alignment vertical="center"/>
    </xf>
    <xf numFmtId="191" fontId="15" fillId="0" borderId="0" xfId="0" applyNumberFormat="1" applyFont="1" applyFill="1" applyBorder="1" applyAlignment="1">
      <alignment horizontal="center" vertical="center"/>
    </xf>
    <xf numFmtId="191" fontId="15" fillId="0" borderId="11" xfId="0" applyNumberFormat="1" applyFont="1" applyFill="1" applyBorder="1" applyAlignment="1">
      <alignment horizontal="center" vertical="center"/>
    </xf>
    <xf numFmtId="191" fontId="15" fillId="0" borderId="0" xfId="0" applyNumberFormat="1" applyFont="1" applyFill="1" applyBorder="1" applyAlignment="1">
      <alignment vertical="center" shrinkToFit="1"/>
    </xf>
    <xf numFmtId="0" fontId="11" fillId="0" borderId="138" xfId="0" applyFont="1" applyBorder="1" applyAlignment="1">
      <alignment horizontal="center" vertical="center"/>
    </xf>
    <xf numFmtId="0" fontId="15" fillId="0" borderId="131" xfId="0" applyFont="1" applyBorder="1">
      <alignment vertical="center"/>
    </xf>
    <xf numFmtId="0" fontId="15" fillId="0" borderId="21" xfId="0" applyFont="1" applyBorder="1">
      <alignment vertical="center"/>
    </xf>
    <xf numFmtId="0" fontId="15" fillId="0" borderId="89" xfId="0" applyFont="1" applyBorder="1">
      <alignment vertical="center"/>
    </xf>
    <xf numFmtId="0" fontId="15" fillId="0" borderId="130" xfId="0" applyFont="1" applyFill="1" applyBorder="1" applyAlignment="1">
      <alignment horizontal="center" vertical="center" shrinkToFit="1"/>
    </xf>
    <xf numFmtId="0" fontId="6" fillId="0" borderId="2" xfId="0" applyFont="1" applyBorder="1">
      <alignment vertical="center"/>
    </xf>
    <xf numFmtId="0" fontId="6" fillId="0" borderId="2" xfId="0" applyFont="1" applyFill="1" applyBorder="1" applyAlignment="1">
      <alignment vertical="center" shrinkToFit="1"/>
    </xf>
    <xf numFmtId="177" fontId="6" fillId="0" borderId="2" xfId="0" applyNumberFormat="1" applyFont="1" applyFill="1" applyBorder="1">
      <alignment vertical="center"/>
    </xf>
    <xf numFmtId="0" fontId="6" fillId="0" borderId="2" xfId="0" applyFont="1" applyFill="1" applyBorder="1">
      <alignment vertical="center"/>
    </xf>
    <xf numFmtId="177" fontId="6" fillId="0" borderId="2" xfId="0" applyNumberFormat="1" applyFont="1" applyFill="1" applyBorder="1" applyAlignment="1">
      <alignment vertical="center" shrinkToFit="1"/>
    </xf>
    <xf numFmtId="0" fontId="6" fillId="0" borderId="130" xfId="0" applyFont="1" applyBorder="1" applyAlignment="1">
      <alignment horizontal="center" vertical="center" shrinkToFit="1"/>
    </xf>
    <xf numFmtId="0" fontId="0" fillId="0" borderId="130" xfId="0" applyBorder="1" applyAlignment="1">
      <alignment horizontal="center" vertical="center" shrinkToFit="1"/>
    </xf>
    <xf numFmtId="0" fontId="15" fillId="0" borderId="2" xfId="0" applyFont="1" applyFill="1" applyBorder="1" applyAlignment="1">
      <alignment vertical="center" shrinkToFit="1"/>
    </xf>
    <xf numFmtId="0" fontId="6" fillId="0" borderId="60" xfId="0" applyFont="1" applyBorder="1" applyAlignment="1">
      <alignment horizontal="center" vertical="center" shrinkToFit="1"/>
    </xf>
    <xf numFmtId="205" fontId="6" fillId="0" borderId="0" xfId="0" applyNumberFormat="1" applyFont="1" applyBorder="1" applyAlignment="1">
      <alignment horizontal="center" vertical="center" shrinkToFit="1"/>
    </xf>
    <xf numFmtId="0" fontId="0" fillId="0" borderId="141" xfId="0" applyBorder="1" applyAlignment="1">
      <alignment horizontal="center" vertical="center" shrinkToFit="1"/>
    </xf>
    <xf numFmtId="0" fontId="6" fillId="0" borderId="0" xfId="0" applyFont="1" applyBorder="1" applyAlignment="1">
      <alignment vertical="center"/>
    </xf>
    <xf numFmtId="0" fontId="3" fillId="0" borderId="140" xfId="0" applyFont="1" applyBorder="1" applyAlignment="1">
      <alignment horizontal="center" vertical="center" shrinkToFit="1"/>
    </xf>
    <xf numFmtId="0" fontId="0" fillId="0" borderId="144" xfId="0" applyBorder="1">
      <alignment vertical="center"/>
    </xf>
    <xf numFmtId="0" fontId="0" fillId="0" borderId="148" xfId="0" applyBorder="1">
      <alignment vertical="center"/>
    </xf>
    <xf numFmtId="0" fontId="0" fillId="0" borderId="150" xfId="0" applyBorder="1">
      <alignment vertical="center"/>
    </xf>
    <xf numFmtId="0" fontId="0" fillId="0" borderId="151" xfId="0" applyBorder="1" applyAlignment="1">
      <alignment vertical="center" shrinkToFit="1"/>
    </xf>
    <xf numFmtId="0" fontId="0" fillId="0" borderId="117" xfId="0" applyBorder="1" applyAlignment="1">
      <alignment vertical="center" shrinkToFit="1"/>
    </xf>
    <xf numFmtId="0" fontId="0" fillId="0" borderId="117" xfId="0" applyBorder="1">
      <alignment vertical="center"/>
    </xf>
    <xf numFmtId="0" fontId="0" fillId="0" borderId="152" xfId="0" applyBorder="1">
      <alignment vertical="center"/>
    </xf>
    <xf numFmtId="0" fontId="6" fillId="0" borderId="142" xfId="0" applyFont="1" applyBorder="1" applyAlignment="1">
      <alignment horizontal="center" vertical="center"/>
    </xf>
    <xf numFmtId="183" fontId="6" fillId="0" borderId="147" xfId="0" applyNumberFormat="1" applyFont="1" applyBorder="1" applyAlignment="1">
      <alignment horizontal="left" vertical="center"/>
    </xf>
    <xf numFmtId="0" fontId="6" fillId="0" borderId="142" xfId="0" applyFont="1" applyBorder="1" applyAlignment="1">
      <alignment horizontal="center" vertical="center" shrinkToFit="1"/>
    </xf>
    <xf numFmtId="183" fontId="6" fillId="0" borderId="147" xfId="0" applyNumberFormat="1" applyFont="1" applyBorder="1" applyAlignment="1">
      <alignment horizontal="left" vertical="center" shrinkToFit="1"/>
    </xf>
    <xf numFmtId="0" fontId="9" fillId="0" borderId="126" xfId="0" applyFont="1" applyBorder="1" applyAlignment="1">
      <alignment horizontal="center" vertical="center"/>
    </xf>
    <xf numFmtId="0" fontId="0" fillId="0" borderId="89" xfId="0" applyBorder="1">
      <alignment vertical="center"/>
    </xf>
    <xf numFmtId="0" fontId="26" fillId="0" borderId="129" xfId="0" applyFont="1" applyBorder="1" applyProtection="1">
      <alignment vertical="center"/>
    </xf>
    <xf numFmtId="0" fontId="35" fillId="0" borderId="153" xfId="0" applyFont="1" applyFill="1" applyBorder="1" applyProtection="1">
      <alignment vertical="center"/>
    </xf>
    <xf numFmtId="0" fontId="36" fillId="0" borderId="153" xfId="0" applyFont="1" applyFill="1" applyBorder="1" applyProtection="1">
      <alignment vertical="center"/>
    </xf>
    <xf numFmtId="0" fontId="6" fillId="0" borderId="6" xfId="0" quotePrefix="1" applyFont="1" applyBorder="1" applyAlignment="1">
      <alignment horizontal="center" vertical="center"/>
    </xf>
    <xf numFmtId="190" fontId="15" fillId="0" borderId="11" xfId="0" applyNumberFormat="1" applyFont="1" applyBorder="1" applyAlignment="1">
      <alignment horizontal="left" vertical="center"/>
    </xf>
    <xf numFmtId="0" fontId="2" fillId="0" borderId="0" xfId="0" applyFont="1" applyAlignment="1">
      <alignment vertical="top"/>
    </xf>
    <xf numFmtId="0" fontId="6" fillId="0" borderId="142" xfId="0" applyFont="1" applyBorder="1" applyAlignment="1">
      <alignment vertical="center" shrinkToFit="1"/>
    </xf>
    <xf numFmtId="0" fontId="6" fillId="0" borderId="142" xfId="0" applyFont="1" applyBorder="1">
      <alignment vertical="center"/>
    </xf>
    <xf numFmtId="0" fontId="33" fillId="0" borderId="154" xfId="0" applyFont="1" applyBorder="1" applyAlignment="1">
      <alignment horizontal="center" vertical="center"/>
    </xf>
    <xf numFmtId="0" fontId="33" fillId="0" borderId="26" xfId="0" applyFont="1" applyBorder="1" applyAlignment="1">
      <alignment horizontal="center" vertical="center"/>
    </xf>
    <xf numFmtId="176" fontId="6" fillId="0" borderId="0" xfId="0" applyNumberFormat="1" applyFont="1" applyFill="1" applyBorder="1" applyAlignment="1">
      <alignment horizontal="center" vertical="center" shrinkToFit="1"/>
    </xf>
    <xf numFmtId="0" fontId="6" fillId="0" borderId="141" xfId="0" applyFont="1" applyBorder="1" applyAlignment="1">
      <alignment horizontal="center" vertical="center" shrinkToFit="1"/>
    </xf>
    <xf numFmtId="0" fontId="6" fillId="0" borderId="0" xfId="0" applyFont="1" applyBorder="1" applyAlignment="1">
      <alignment horizontal="left" vertical="center" indent="1"/>
    </xf>
    <xf numFmtId="0" fontId="0" fillId="0" borderId="10" xfId="0" applyBorder="1">
      <alignment vertical="center"/>
    </xf>
    <xf numFmtId="0" fontId="6" fillId="0" borderId="20" xfId="0" applyFont="1" applyBorder="1">
      <alignment vertical="center"/>
    </xf>
    <xf numFmtId="0" fontId="6" fillId="0" borderId="4" xfId="0" applyFont="1" applyBorder="1" applyAlignment="1">
      <alignment horizontal="center" vertical="center"/>
    </xf>
    <xf numFmtId="0" fontId="6" fillId="0" borderId="159" xfId="0" applyFont="1" applyBorder="1" applyAlignment="1">
      <alignment horizontal="center" vertical="center"/>
    </xf>
    <xf numFmtId="0" fontId="6" fillId="0" borderId="26" xfId="0" applyFont="1" applyBorder="1" applyAlignment="1">
      <alignment horizontal="center" vertical="center"/>
    </xf>
    <xf numFmtId="0" fontId="6" fillId="0" borderId="27" xfId="0" quotePrefix="1" applyFont="1" applyBorder="1" applyAlignment="1">
      <alignment horizontal="center" vertical="center"/>
    </xf>
    <xf numFmtId="190" fontId="6" fillId="0" borderId="27" xfId="0" applyNumberFormat="1" applyFont="1" applyBorder="1" applyAlignment="1">
      <alignment horizontal="center" vertical="center"/>
    </xf>
    <xf numFmtId="0" fontId="6" fillId="0" borderId="28" xfId="0" applyFont="1" applyBorder="1">
      <alignment vertical="center"/>
    </xf>
    <xf numFmtId="191" fontId="6" fillId="0" borderId="28" xfId="0" applyNumberFormat="1" applyFont="1" applyFill="1" applyBorder="1" applyAlignment="1">
      <alignment horizontal="center" vertical="center"/>
    </xf>
    <xf numFmtId="0" fontId="15" fillId="0" borderId="2" xfId="0" applyFont="1" applyBorder="1" applyAlignment="1">
      <alignment horizontal="center" vertical="center" shrinkToFit="1"/>
    </xf>
    <xf numFmtId="0" fontId="15" fillId="0" borderId="2" xfId="0" applyFont="1" applyFill="1" applyBorder="1" applyAlignment="1">
      <alignment horizontal="center" vertical="center" shrinkToFit="1"/>
    </xf>
    <xf numFmtId="0" fontId="27" fillId="0" borderId="2" xfId="0" applyFont="1" applyFill="1" applyBorder="1" applyProtection="1">
      <alignment vertical="center"/>
    </xf>
    <xf numFmtId="0" fontId="11" fillId="0" borderId="1" xfId="0" applyFont="1" applyBorder="1" applyAlignment="1">
      <alignment horizontal="center" vertical="center"/>
    </xf>
    <xf numFmtId="0" fontId="15" fillId="0" borderId="144" xfId="0" applyFont="1" applyBorder="1">
      <alignment vertical="center"/>
    </xf>
    <xf numFmtId="0" fontId="11" fillId="0" borderId="16" xfId="0" applyFont="1" applyBorder="1" applyAlignment="1">
      <alignment horizontal="center" vertical="center"/>
    </xf>
    <xf numFmtId="0" fontId="0" fillId="0" borderId="161" xfId="0" applyBorder="1">
      <alignment vertical="center"/>
    </xf>
    <xf numFmtId="0" fontId="3" fillId="0" borderId="0" xfId="0" applyFont="1" applyFill="1" applyBorder="1" applyAlignment="1">
      <alignment horizontal="center" vertical="center" wrapText="1" shrinkToFit="1"/>
    </xf>
    <xf numFmtId="0" fontId="15" fillId="0" borderId="0" xfId="0" applyFont="1" applyFill="1" applyAlignment="1">
      <alignment vertical="center" shrinkToFit="1"/>
    </xf>
    <xf numFmtId="0" fontId="3" fillId="0" borderId="0" xfId="0" applyFont="1" applyFill="1" applyBorder="1" applyAlignment="1">
      <alignment horizontal="center" vertical="center" shrinkToFit="1"/>
    </xf>
    <xf numFmtId="0" fontId="3" fillId="0" borderId="8" xfId="0" applyFont="1" applyFill="1" applyBorder="1" applyAlignment="1">
      <alignment horizontal="center" vertical="center" wrapText="1" shrinkToFit="1"/>
    </xf>
    <xf numFmtId="0" fontId="11" fillId="0" borderId="8" xfId="0" applyFont="1" applyFill="1" applyBorder="1" applyAlignment="1">
      <alignment vertical="center" wrapText="1" shrinkToFit="1"/>
    </xf>
    <xf numFmtId="0" fontId="3" fillId="0" borderId="8" xfId="0" applyFont="1" applyFill="1" applyBorder="1" applyAlignment="1">
      <alignment horizontal="center" vertical="center" shrinkToFit="1"/>
    </xf>
    <xf numFmtId="0" fontId="15" fillId="0" borderId="8" xfId="0" applyFont="1" applyFill="1" applyBorder="1" applyAlignment="1">
      <alignment vertical="center" shrinkToFit="1"/>
    </xf>
    <xf numFmtId="197" fontId="6" fillId="0" borderId="0" xfId="0" applyNumberFormat="1" applyFont="1" applyBorder="1">
      <alignment vertical="center"/>
    </xf>
    <xf numFmtId="191" fontId="6" fillId="0" borderId="0" xfId="0" applyNumberFormat="1" applyFont="1" applyBorder="1" applyAlignment="1">
      <alignment horizontal="left" vertical="center"/>
    </xf>
    <xf numFmtId="190" fontId="6" fillId="0" borderId="27" xfId="0" applyNumberFormat="1" applyFont="1" applyBorder="1" applyAlignment="1">
      <alignment horizontal="left" vertical="center"/>
    </xf>
    <xf numFmtId="0" fontId="6" fillId="0" borderId="1" xfId="0" applyFont="1" applyBorder="1">
      <alignment vertical="center"/>
    </xf>
    <xf numFmtId="0" fontId="6" fillId="0" borderId="21" xfId="0" applyFont="1" applyBorder="1" applyAlignment="1">
      <alignment horizontal="center" vertical="center"/>
    </xf>
    <xf numFmtId="0" fontId="6" fillId="0" borderId="139" xfId="0" applyFont="1" applyBorder="1" applyAlignment="1">
      <alignment horizontal="center" vertical="center"/>
    </xf>
    <xf numFmtId="0" fontId="15" fillId="0" borderId="2" xfId="0" applyFont="1" applyFill="1" applyBorder="1">
      <alignment vertical="center"/>
    </xf>
    <xf numFmtId="0" fontId="6" fillId="0" borderId="2" xfId="0" applyFont="1" applyBorder="1" applyAlignment="1">
      <alignment horizontal="center" vertical="center" shrinkToFit="1"/>
    </xf>
    <xf numFmtId="0" fontId="0" fillId="0" borderId="2" xfId="0" applyBorder="1" applyAlignment="1">
      <alignment vertical="center"/>
    </xf>
    <xf numFmtId="0" fontId="6" fillId="0" borderId="8" xfId="0" applyFont="1" applyBorder="1" applyAlignment="1">
      <alignment horizontal="center" vertical="center"/>
    </xf>
    <xf numFmtId="0" fontId="22" fillId="0" borderId="0" xfId="0" applyFont="1" applyBorder="1" applyAlignment="1">
      <alignment horizontal="center" vertical="center"/>
    </xf>
    <xf numFmtId="0" fontId="15" fillId="0" borderId="6" xfId="0" applyFont="1" applyBorder="1" applyAlignment="1">
      <alignment horizontal="center" vertical="center" shrinkToFit="1"/>
    </xf>
    <xf numFmtId="0" fontId="11" fillId="0" borderId="142" xfId="0" applyFont="1" applyBorder="1" applyAlignment="1">
      <alignment vertical="center" shrinkToFit="1"/>
    </xf>
    <xf numFmtId="183" fontId="11" fillId="0" borderId="155" xfId="0" applyNumberFormat="1" applyFont="1" applyBorder="1" applyAlignment="1">
      <alignment horizontal="left" vertical="center"/>
    </xf>
    <xf numFmtId="183" fontId="11" fillId="0" borderId="155" xfId="0" applyNumberFormat="1" applyFont="1" applyBorder="1" applyAlignment="1">
      <alignment horizontal="left" vertical="center" shrinkToFit="1"/>
    </xf>
    <xf numFmtId="0" fontId="11" fillId="0" borderId="142" xfId="0" applyFont="1" applyBorder="1">
      <alignment vertical="center"/>
    </xf>
    <xf numFmtId="0" fontId="9" fillId="0" borderId="125" xfId="0" applyFont="1" applyFill="1" applyBorder="1" applyAlignment="1">
      <alignment horizontal="center" vertical="center"/>
    </xf>
    <xf numFmtId="0" fontId="9" fillId="0" borderId="126" xfId="0" applyFont="1" applyFill="1" applyBorder="1" applyAlignment="1">
      <alignment horizontal="center" vertical="center"/>
    </xf>
    <xf numFmtId="0" fontId="0" fillId="0" borderId="165" xfId="0" applyBorder="1" applyAlignment="1">
      <alignment vertical="center" shrinkToFit="1"/>
    </xf>
    <xf numFmtId="0" fontId="9" fillId="0" borderId="166" xfId="0" applyFont="1" applyFill="1" applyBorder="1" applyAlignment="1">
      <alignment horizontal="center" vertical="center"/>
    </xf>
    <xf numFmtId="0" fontId="9" fillId="0" borderId="167" xfId="0" applyFont="1" applyFill="1" applyBorder="1" applyAlignment="1">
      <alignment horizontal="center" vertical="center"/>
    </xf>
    <xf numFmtId="0" fontId="3" fillId="0" borderId="168" xfId="0" applyFont="1" applyBorder="1" applyAlignment="1">
      <alignment horizontal="center" vertical="center" shrinkToFit="1"/>
    </xf>
    <xf numFmtId="0" fontId="33" fillId="0" borderId="169" xfId="0" applyFont="1" applyBorder="1" applyAlignment="1">
      <alignment horizontal="center" vertical="center"/>
    </xf>
    <xf numFmtId="0" fontId="9" fillId="0" borderId="170" xfId="0" applyFont="1" applyBorder="1" applyAlignment="1">
      <alignment horizontal="center" vertical="center" shrinkToFit="1"/>
    </xf>
    <xf numFmtId="0" fontId="33" fillId="0" borderId="118" xfId="0" applyFont="1" applyBorder="1" applyAlignment="1">
      <alignment horizontal="center" vertical="center"/>
    </xf>
    <xf numFmtId="0" fontId="33" fillId="0" borderId="171" xfId="0" applyFont="1" applyBorder="1" applyAlignment="1">
      <alignment horizontal="center" vertical="center"/>
    </xf>
    <xf numFmtId="0" fontId="15" fillId="0" borderId="172" xfId="0" applyFont="1" applyBorder="1" applyAlignment="1">
      <alignment vertical="center" shrinkToFit="1"/>
    </xf>
    <xf numFmtId="0" fontId="15" fillId="0" borderId="26" xfId="0" applyFont="1" applyFill="1" applyBorder="1" applyAlignment="1">
      <alignment vertical="center" shrinkToFit="1"/>
    </xf>
    <xf numFmtId="0" fontId="15" fillId="0" borderId="28" xfId="0" applyFont="1" applyFill="1" applyBorder="1">
      <alignment vertical="center"/>
    </xf>
    <xf numFmtId="0" fontId="15" fillId="0" borderId="28" xfId="0" applyFont="1" applyBorder="1">
      <alignment vertical="center"/>
    </xf>
    <xf numFmtId="0" fontId="15" fillId="0" borderId="2" xfId="0" applyFont="1" applyBorder="1" applyAlignment="1">
      <alignment vertical="center" shrinkToFit="1"/>
    </xf>
    <xf numFmtId="0" fontId="15" fillId="0" borderId="125" xfId="0" applyFont="1" applyBorder="1" applyAlignment="1">
      <alignment vertical="center" shrinkToFit="1"/>
    </xf>
    <xf numFmtId="191" fontId="6" fillId="0" borderId="28" xfId="0" applyNumberFormat="1" applyFont="1" applyBorder="1" applyAlignment="1">
      <alignment horizontal="left" vertical="center"/>
    </xf>
    <xf numFmtId="176" fontId="6" fillId="0" borderId="26" xfId="0" applyNumberFormat="1" applyFont="1" applyFill="1" applyBorder="1" applyAlignment="1">
      <alignment vertical="center" shrinkToFit="1"/>
    </xf>
    <xf numFmtId="197" fontId="6" fillId="0" borderId="27" xfId="0" applyNumberFormat="1" applyFont="1" applyBorder="1">
      <alignment vertical="center"/>
    </xf>
    <xf numFmtId="0" fontId="15" fillId="0" borderId="60" xfId="0" applyFont="1" applyBorder="1" applyAlignment="1">
      <alignment vertical="center" shrinkToFit="1"/>
    </xf>
    <xf numFmtId="0" fontId="12" fillId="0" borderId="0" xfId="0" applyFont="1" applyBorder="1" applyAlignment="1">
      <alignment vertical="center"/>
    </xf>
    <xf numFmtId="0" fontId="29" fillId="0" borderId="1" xfId="0" applyFont="1" applyBorder="1">
      <alignment vertical="center"/>
    </xf>
    <xf numFmtId="0" fontId="29" fillId="0" borderId="27" xfId="0" applyFont="1" applyBorder="1">
      <alignment vertical="center"/>
    </xf>
    <xf numFmtId="0" fontId="29" fillId="0" borderId="28" xfId="0" applyFont="1" applyBorder="1">
      <alignment vertical="center"/>
    </xf>
    <xf numFmtId="191" fontId="6" fillId="0" borderId="4" xfId="0" applyNumberFormat="1" applyFont="1" applyFill="1" applyBorder="1" applyAlignment="1">
      <alignment horizontal="center" vertical="center"/>
    </xf>
    <xf numFmtId="0" fontId="0" fillId="0" borderId="2" xfId="0" applyBorder="1">
      <alignment vertical="center"/>
    </xf>
    <xf numFmtId="0" fontId="9" fillId="0" borderId="2" xfId="0" applyFont="1" applyBorder="1" applyAlignment="1">
      <alignment horizontal="center" vertical="center"/>
    </xf>
    <xf numFmtId="0" fontId="28" fillId="0" borderId="2" xfId="0" applyFont="1" applyBorder="1" applyProtection="1">
      <alignment vertical="center"/>
    </xf>
    <xf numFmtId="0" fontId="3" fillId="0" borderId="2" xfId="0" applyFont="1" applyBorder="1" applyAlignment="1">
      <alignment horizontal="center" vertical="center"/>
    </xf>
    <xf numFmtId="0" fontId="0" fillId="0" borderId="1" xfId="0" applyBorder="1">
      <alignment vertical="center"/>
    </xf>
    <xf numFmtId="0" fontId="0" fillId="0" borderId="21" xfId="0" applyBorder="1">
      <alignment vertical="center"/>
    </xf>
    <xf numFmtId="0" fontId="0" fillId="0" borderId="139" xfId="0" applyBorder="1">
      <alignment vertical="center"/>
    </xf>
    <xf numFmtId="0" fontId="28" fillId="0" borderId="139" xfId="0" applyFont="1" applyBorder="1" applyProtection="1">
      <alignment vertical="center"/>
    </xf>
    <xf numFmtId="0" fontId="27" fillId="0" borderId="139" xfId="0" applyFont="1" applyFill="1" applyBorder="1" applyProtection="1">
      <alignment vertical="center"/>
    </xf>
    <xf numFmtId="0" fontId="9" fillId="0" borderId="2" xfId="0" applyFont="1" applyFill="1" applyBorder="1" applyAlignment="1">
      <alignment horizontal="center" vertical="center"/>
    </xf>
    <xf numFmtId="0" fontId="3" fillId="0" borderId="2" xfId="0" applyFont="1" applyFill="1" applyBorder="1" applyAlignment="1">
      <alignment horizontal="center" vertical="center"/>
    </xf>
    <xf numFmtId="0" fontId="15" fillId="0" borderId="130" xfId="0" applyFont="1" applyBorder="1" applyAlignment="1">
      <alignment vertical="center" shrinkToFit="1"/>
    </xf>
    <xf numFmtId="177" fontId="15" fillId="0" borderId="2" xfId="0" applyNumberFormat="1" applyFont="1" applyFill="1" applyBorder="1">
      <alignment vertical="center"/>
    </xf>
    <xf numFmtId="177" fontId="15" fillId="0" borderId="2" xfId="0" applyNumberFormat="1" applyFont="1" applyFill="1" applyBorder="1" applyAlignment="1">
      <alignment vertical="center" shrinkToFit="1"/>
    </xf>
    <xf numFmtId="0" fontId="15" fillId="0" borderId="175" xfId="0" applyFont="1" applyFill="1" applyBorder="1" applyAlignment="1">
      <alignment vertical="center" shrinkToFit="1"/>
    </xf>
    <xf numFmtId="0" fontId="15" fillId="0" borderId="175" xfId="0" applyFont="1" applyFill="1" applyBorder="1">
      <alignment vertical="center"/>
    </xf>
    <xf numFmtId="0" fontId="6" fillId="0" borderId="175" xfId="0" applyFont="1" applyFill="1" applyBorder="1">
      <alignment vertical="center"/>
    </xf>
    <xf numFmtId="0" fontId="6" fillId="0" borderId="175" xfId="0" applyFont="1" applyFill="1" applyBorder="1" applyAlignment="1">
      <alignment vertical="center" shrinkToFit="1"/>
    </xf>
    <xf numFmtId="0" fontId="11" fillId="0" borderId="184" xfId="0" applyFont="1" applyBorder="1">
      <alignment vertical="center"/>
    </xf>
    <xf numFmtId="183" fontId="11" fillId="0" borderId="183" xfId="0" applyNumberFormat="1" applyFont="1" applyBorder="1" applyAlignment="1">
      <alignment horizontal="left" vertical="center"/>
    </xf>
    <xf numFmtId="0" fontId="11" fillId="0" borderId="185" xfId="0" applyFont="1" applyBorder="1" applyAlignment="1">
      <alignment vertical="center" shrinkToFit="1"/>
    </xf>
    <xf numFmtId="183" fontId="11" fillId="0" borderId="183" xfId="0" applyNumberFormat="1" applyFont="1" applyBorder="1" applyAlignment="1">
      <alignment horizontal="left" vertical="center" shrinkToFit="1"/>
    </xf>
    <xf numFmtId="0" fontId="9" fillId="0" borderId="0" xfId="0" applyFont="1" applyFill="1" applyAlignment="1">
      <alignment horizontal="center" vertical="center"/>
    </xf>
    <xf numFmtId="0" fontId="9" fillId="0" borderId="114"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9" xfId="0" applyFont="1" applyFill="1" applyBorder="1" applyAlignment="1">
      <alignment horizontal="center" vertical="center"/>
    </xf>
    <xf numFmtId="0" fontId="0" fillId="0" borderId="114" xfId="0" applyFont="1" applyBorder="1">
      <alignment vertical="center"/>
    </xf>
    <xf numFmtId="0" fontId="6" fillId="0" borderId="25" xfId="0" applyFont="1" applyFill="1" applyBorder="1" applyAlignment="1">
      <alignment horizontal="center" vertical="center"/>
    </xf>
    <xf numFmtId="0" fontId="6" fillId="0" borderId="0" xfId="0" applyFont="1" applyFill="1" applyAlignment="1">
      <alignment horizontal="center" vertical="center"/>
    </xf>
    <xf numFmtId="0" fontId="15" fillId="0" borderId="90" xfId="0" applyFont="1" applyBorder="1" applyAlignment="1">
      <alignment vertical="center" shrinkToFit="1"/>
    </xf>
    <xf numFmtId="0" fontId="15" fillId="0" borderId="2" xfId="0" applyFont="1" applyFill="1" applyBorder="1" applyAlignment="1">
      <alignment horizontal="center" vertical="center"/>
    </xf>
    <xf numFmtId="0" fontId="15" fillId="0" borderId="26" xfId="0" applyFont="1" applyFill="1" applyBorder="1" applyAlignment="1">
      <alignment horizontal="center" vertical="center" shrinkToFit="1"/>
    </xf>
    <xf numFmtId="177" fontId="15" fillId="0" borderId="26" xfId="0" applyNumberFormat="1" applyFont="1" applyFill="1" applyBorder="1" applyAlignment="1">
      <alignment horizontal="center" vertical="center"/>
    </xf>
    <xf numFmtId="0" fontId="15" fillId="0" borderId="26" xfId="0" applyFont="1" applyFill="1" applyBorder="1" applyAlignment="1">
      <alignment horizontal="center" vertical="center"/>
    </xf>
    <xf numFmtId="0" fontId="6" fillId="0" borderId="2" xfId="0" applyFont="1" applyFill="1" applyBorder="1" applyAlignment="1">
      <alignment horizontal="center" vertical="center" shrinkToFit="1"/>
    </xf>
    <xf numFmtId="0" fontId="0" fillId="0" borderId="187" xfId="0" applyBorder="1" applyAlignment="1">
      <alignment vertical="center" shrinkToFit="1"/>
    </xf>
    <xf numFmtId="176" fontId="6" fillId="0" borderId="26" xfId="0" applyNumberFormat="1" applyFont="1" applyBorder="1" applyAlignment="1">
      <alignment horizontal="center" vertical="center"/>
    </xf>
    <xf numFmtId="0" fontId="29" fillId="0" borderId="8" xfId="0" applyFont="1" applyBorder="1">
      <alignment vertical="center"/>
    </xf>
    <xf numFmtId="0" fontId="29" fillId="0" borderId="9" xfId="0" applyFont="1" applyBorder="1">
      <alignment vertical="center"/>
    </xf>
    <xf numFmtId="176" fontId="27" fillId="0" borderId="2" xfId="0" applyNumberFormat="1" applyFont="1" applyFill="1" applyBorder="1" applyProtection="1">
      <alignment vertical="center"/>
    </xf>
    <xf numFmtId="176" fontId="15" fillId="0" borderId="2" xfId="0" applyNumberFormat="1" applyFont="1" applyBorder="1" applyAlignment="1">
      <alignment horizontal="right" vertical="center"/>
    </xf>
    <xf numFmtId="176" fontId="27" fillId="0" borderId="139" xfId="0" applyNumberFormat="1" applyFont="1" applyFill="1" applyBorder="1" applyProtection="1">
      <alignment vertical="center"/>
    </xf>
    <xf numFmtId="176" fontId="26" fillId="0" borderId="139" xfId="0" applyNumberFormat="1" applyFont="1" applyBorder="1" applyProtection="1">
      <alignment vertical="center"/>
    </xf>
    <xf numFmtId="0" fontId="2" fillId="0" borderId="0" xfId="0" applyFont="1" applyBorder="1" applyAlignment="1">
      <alignment horizontal="center" vertical="center" shrinkToFit="1"/>
    </xf>
    <xf numFmtId="0" fontId="2" fillId="0" borderId="0" xfId="0" applyFont="1" applyBorder="1" applyAlignment="1">
      <alignment vertical="center"/>
    </xf>
    <xf numFmtId="0" fontId="15" fillId="0" borderId="0" xfId="0" applyFont="1" applyFill="1" applyAlignment="1">
      <alignment horizontal="center" vertical="center"/>
    </xf>
    <xf numFmtId="0" fontId="0" fillId="0" borderId="9" xfId="0" applyFont="1" applyFill="1" applyBorder="1" applyAlignment="1">
      <alignment horizontal="center" vertical="center"/>
    </xf>
    <xf numFmtId="0" fontId="0" fillId="0" borderId="0" xfId="0" applyFill="1" applyAlignment="1">
      <alignment horizontal="center" vertical="center"/>
    </xf>
    <xf numFmtId="0" fontId="0" fillId="0" borderId="70" xfId="0" applyFont="1" applyFill="1" applyBorder="1" applyAlignment="1">
      <alignment horizontal="center" vertical="center"/>
    </xf>
    <xf numFmtId="0" fontId="9" fillId="0" borderId="42" xfId="0" applyFont="1" applyFill="1" applyBorder="1" applyAlignment="1">
      <alignment horizontal="center" vertical="center"/>
    </xf>
    <xf numFmtId="0" fontId="6" fillId="0" borderId="0" xfId="0" applyFont="1" applyBorder="1" applyAlignment="1">
      <alignment horizontal="center" vertical="center" shrinkToFit="1"/>
    </xf>
    <xf numFmtId="0" fontId="6" fillId="0" borderId="8" xfId="0" applyFont="1" applyBorder="1" applyAlignment="1">
      <alignment horizontal="center" vertical="center" shrinkToFit="1"/>
    </xf>
    <xf numFmtId="0" fontId="0" fillId="0" borderId="9" xfId="0" applyBorder="1" applyAlignment="1">
      <alignment horizontal="center" vertical="center"/>
    </xf>
    <xf numFmtId="0" fontId="0" fillId="0" borderId="2" xfId="0" applyBorder="1" applyAlignment="1">
      <alignment horizontal="center" vertical="center"/>
    </xf>
    <xf numFmtId="0" fontId="6" fillId="0" borderId="0" xfId="0" applyFont="1" applyBorder="1" applyAlignment="1">
      <alignment horizontal="center" vertical="center"/>
    </xf>
    <xf numFmtId="0" fontId="15" fillId="0" borderId="0" xfId="0" applyFont="1" applyBorder="1" applyAlignment="1">
      <alignment horizontal="center" vertical="center" shrinkToFit="1"/>
    </xf>
    <xf numFmtId="0" fontId="0" fillId="0" borderId="0" xfId="0" applyBorder="1" applyAlignment="1">
      <alignment horizontal="center" vertical="center"/>
    </xf>
    <xf numFmtId="0" fontId="6" fillId="0" borderId="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0" xfId="0" applyFont="1" applyAlignment="1">
      <alignment horizontal="center" vertical="center" wrapText="1"/>
    </xf>
    <xf numFmtId="0" fontId="0" fillId="0" borderId="9" xfId="0" applyBorder="1" applyAlignment="1">
      <alignment horizontal="center" vertical="center" wrapText="1"/>
    </xf>
    <xf numFmtId="0" fontId="3" fillId="0" borderId="0" xfId="0" applyFont="1" applyBorder="1" applyAlignment="1">
      <alignment horizontal="center" vertical="center" shrinkToFit="1"/>
    </xf>
    <xf numFmtId="0" fontId="3" fillId="0" borderId="0" xfId="0" applyFont="1" applyBorder="1" applyAlignment="1">
      <alignment horizontal="center" vertical="center"/>
    </xf>
    <xf numFmtId="0" fontId="29" fillId="0" borderId="0" xfId="0" applyFont="1" applyBorder="1" applyAlignment="1">
      <alignment horizontal="center" vertical="center" wrapText="1"/>
    </xf>
    <xf numFmtId="0" fontId="30" fillId="0" borderId="0" xfId="0" applyFont="1" applyBorder="1" applyAlignment="1">
      <alignment horizontal="center" vertical="center" wrapText="1"/>
    </xf>
    <xf numFmtId="0" fontId="6" fillId="0" borderId="0" xfId="0" applyFont="1" applyBorder="1" applyAlignment="1">
      <alignment horizontal="center" vertical="center" wrapText="1" shrinkToFit="1"/>
    </xf>
    <xf numFmtId="0" fontId="0" fillId="0" borderId="11" xfId="0" applyBorder="1" applyAlignment="1">
      <alignment vertical="center" wrapText="1"/>
    </xf>
    <xf numFmtId="0" fontId="0" fillId="0" borderId="12" xfId="0" applyBorder="1" applyAlignment="1">
      <alignment vertical="center" wrapText="1"/>
    </xf>
    <xf numFmtId="0" fontId="0" fillId="0" borderId="53" xfId="0" applyFont="1" applyFill="1" applyBorder="1">
      <alignment vertical="center"/>
    </xf>
    <xf numFmtId="0" fontId="0" fillId="0" borderId="0" xfId="0" applyFont="1" applyFill="1">
      <alignment vertical="center"/>
    </xf>
    <xf numFmtId="0" fontId="0" fillId="0" borderId="0" xfId="0" applyFont="1" applyFill="1" applyBorder="1">
      <alignment vertical="center"/>
    </xf>
    <xf numFmtId="0" fontId="0" fillId="0" borderId="59" xfId="0" applyFont="1" applyFill="1" applyBorder="1">
      <alignment vertical="center"/>
    </xf>
    <xf numFmtId="0" fontId="0" fillId="0" borderId="9" xfId="0" applyFill="1" applyBorder="1" applyAlignment="1">
      <alignment horizontal="center" vertical="center"/>
    </xf>
    <xf numFmtId="0" fontId="15" fillId="0" borderId="131" xfId="0" applyFont="1" applyFill="1" applyBorder="1" applyAlignment="1">
      <alignment vertical="center" shrinkToFit="1"/>
    </xf>
    <xf numFmtId="0" fontId="15" fillId="0" borderId="125" xfId="0" applyFont="1" applyFill="1" applyBorder="1" applyAlignment="1">
      <alignment horizontal="center" vertical="center"/>
    </xf>
    <xf numFmtId="0" fontId="6" fillId="0" borderId="125" xfId="0" applyFont="1" applyFill="1" applyBorder="1" applyAlignment="1">
      <alignment horizontal="center" vertical="center"/>
    </xf>
    <xf numFmtId="0" fontId="15" fillId="0" borderId="125" xfId="0" applyFont="1" applyFill="1" applyBorder="1">
      <alignment vertical="center"/>
    </xf>
    <xf numFmtId="0" fontId="6" fillId="0" borderId="28" xfId="0" applyFont="1" applyFill="1" applyBorder="1" applyAlignment="1">
      <alignment horizontal="center" vertical="center" shrinkToFit="1"/>
    </xf>
    <xf numFmtId="0" fontId="15" fillId="0" borderId="60" xfId="0" applyFont="1" applyBorder="1" applyAlignment="1">
      <alignment horizontal="center" vertical="center" shrinkToFit="1"/>
    </xf>
    <xf numFmtId="177" fontId="15" fillId="0" borderId="2" xfId="0" applyNumberFormat="1" applyFont="1" applyFill="1" applyBorder="1" applyAlignment="1">
      <alignment horizontal="center" vertical="center"/>
    </xf>
    <xf numFmtId="0" fontId="6" fillId="0" borderId="138" xfId="0" applyFont="1" applyBorder="1" applyAlignment="1">
      <alignment horizontal="center" vertical="center"/>
    </xf>
    <xf numFmtId="0" fontId="0" fillId="0" borderId="189" xfId="0" applyBorder="1">
      <alignment vertical="center"/>
    </xf>
    <xf numFmtId="0" fontId="3" fillId="0" borderId="131" xfId="0" applyFont="1" applyBorder="1" applyAlignment="1">
      <alignment horizontal="center" vertical="center" shrinkToFit="1"/>
    </xf>
    <xf numFmtId="0" fontId="6" fillId="0" borderId="154" xfId="0" applyFont="1" applyBorder="1" applyAlignment="1">
      <alignment horizontal="center" vertical="center"/>
    </xf>
    <xf numFmtId="0" fontId="15" fillId="0" borderId="111" xfId="0" applyFont="1" applyBorder="1" applyAlignment="1">
      <alignment horizontal="center" vertical="center"/>
    </xf>
    <xf numFmtId="0" fontId="29" fillId="0" borderId="140" xfId="0" applyFont="1" applyBorder="1">
      <alignment vertical="center"/>
    </xf>
    <xf numFmtId="191" fontId="15" fillId="0" borderId="28" xfId="0" applyNumberFormat="1" applyFont="1" applyFill="1" applyBorder="1" applyAlignment="1">
      <alignment horizontal="center" vertical="center"/>
    </xf>
    <xf numFmtId="191" fontId="15" fillId="0" borderId="188" xfId="0" applyNumberFormat="1" applyFont="1" applyFill="1" applyBorder="1" applyAlignment="1">
      <alignment horizontal="center" vertical="center"/>
    </xf>
    <xf numFmtId="0" fontId="6" fillId="0" borderId="44" xfId="0" quotePrefix="1" applyFont="1" applyBorder="1" applyAlignment="1">
      <alignment horizontal="center" vertical="center"/>
    </xf>
    <xf numFmtId="190" fontId="15" fillId="0" borderId="27" xfId="0" applyNumberFormat="1" applyFont="1" applyBorder="1" applyAlignment="1">
      <alignment horizontal="center" vertical="center"/>
    </xf>
    <xf numFmtId="190" fontId="15" fillId="0" borderId="190" xfId="0" applyNumberFormat="1" applyFont="1" applyBorder="1" applyAlignment="1">
      <alignment horizontal="center" vertical="center"/>
    </xf>
    <xf numFmtId="0" fontId="29" fillId="0" borderId="191" xfId="0" applyFont="1" applyBorder="1">
      <alignment vertical="center"/>
    </xf>
    <xf numFmtId="0" fontId="3" fillId="0" borderId="9" xfId="0" applyFont="1" applyBorder="1" applyAlignment="1">
      <alignment horizontal="center" vertical="center"/>
    </xf>
    <xf numFmtId="0" fontId="0" fillId="0" borderId="132" xfId="0" applyBorder="1" applyAlignment="1">
      <alignment horizontal="center" vertical="center"/>
    </xf>
    <xf numFmtId="0" fontId="6" fillId="0" borderId="62" xfId="0" applyFont="1" applyBorder="1" applyAlignment="1">
      <alignment horizontal="center" vertical="center" shrinkToFit="1"/>
    </xf>
    <xf numFmtId="0" fontId="15" fillId="0" borderId="28" xfId="0" applyFont="1" applyBorder="1" applyAlignment="1">
      <alignment vertical="center" shrinkToFit="1"/>
    </xf>
    <xf numFmtId="0" fontId="15" fillId="0" borderId="192" xfId="0" applyFont="1" applyBorder="1" applyAlignment="1">
      <alignment horizontal="center" vertical="center" shrinkToFit="1"/>
    </xf>
    <xf numFmtId="0" fontId="0" fillId="0" borderId="44" xfId="0" quotePrefix="1" applyBorder="1" applyAlignment="1">
      <alignment horizontal="center" vertical="center"/>
    </xf>
    <xf numFmtId="0" fontId="15" fillId="0" borderId="193" xfId="0" applyFont="1" applyFill="1" applyBorder="1">
      <alignment vertical="center"/>
    </xf>
    <xf numFmtId="0" fontId="31" fillId="0" borderId="0" xfId="0" applyFont="1" applyBorder="1" applyAlignment="1">
      <alignment horizontal="center" vertical="center"/>
    </xf>
    <xf numFmtId="0" fontId="15" fillId="0" borderId="194" xfId="0" applyFont="1" applyBorder="1" applyAlignment="1">
      <alignment vertical="center" shrinkToFit="1"/>
    </xf>
    <xf numFmtId="0" fontId="0" fillId="0" borderId="132" xfId="0" applyBorder="1">
      <alignment vertical="center"/>
    </xf>
    <xf numFmtId="0" fontId="27" fillId="0" borderId="62" xfId="0" applyFont="1" applyFill="1" applyBorder="1" applyProtection="1">
      <alignment vertical="center"/>
    </xf>
    <xf numFmtId="0" fontId="0" fillId="0" borderId="138" xfId="0" applyBorder="1">
      <alignment vertical="center"/>
    </xf>
    <xf numFmtId="0" fontId="15" fillId="0" borderId="138" xfId="0" applyFont="1" applyBorder="1">
      <alignment vertical="center"/>
    </xf>
    <xf numFmtId="0" fontId="28" fillId="0" borderId="63" xfId="0" applyFont="1" applyBorder="1" applyProtection="1">
      <alignment vertical="center"/>
    </xf>
    <xf numFmtId="176" fontId="15" fillId="0" borderId="63" xfId="0" applyNumberFormat="1" applyFont="1" applyBorder="1" applyAlignment="1">
      <alignment horizontal="right" vertical="center"/>
    </xf>
    <xf numFmtId="176" fontId="27" fillId="0" borderId="62" xfId="0" applyNumberFormat="1" applyFont="1" applyFill="1" applyBorder="1" applyProtection="1">
      <alignment vertical="center"/>
    </xf>
    <xf numFmtId="176" fontId="27" fillId="0" borderId="189" xfId="0" applyNumberFormat="1" applyFont="1" applyFill="1" applyBorder="1" applyProtection="1">
      <alignment vertical="center"/>
    </xf>
    <xf numFmtId="0" fontId="27" fillId="0" borderId="189" xfId="0" applyFont="1" applyFill="1" applyBorder="1" applyProtection="1">
      <alignment vertical="center"/>
    </xf>
    <xf numFmtId="0" fontId="28" fillId="0" borderId="129" xfId="0" applyFont="1" applyBorder="1" applyProtection="1">
      <alignment vertical="center"/>
    </xf>
    <xf numFmtId="0" fontId="28" fillId="0" borderId="153" xfId="0" applyFont="1" applyBorder="1" applyProtection="1">
      <alignment vertical="center"/>
    </xf>
    <xf numFmtId="0" fontId="26" fillId="0" borderId="139" xfId="0" applyFont="1" applyBorder="1" applyProtection="1">
      <alignment vertical="center"/>
    </xf>
    <xf numFmtId="0" fontId="8" fillId="0" borderId="8" xfId="0" applyFont="1" applyBorder="1" applyAlignment="1">
      <alignment horizontal="center" vertical="center" shrinkToFit="1"/>
    </xf>
    <xf numFmtId="0" fontId="6" fillId="0" borderId="111" xfId="0" applyFont="1" applyBorder="1" applyAlignment="1">
      <alignment horizontal="center" vertical="center"/>
    </xf>
    <xf numFmtId="191" fontId="6" fillId="0" borderId="188" xfId="0" applyNumberFormat="1" applyFont="1" applyFill="1" applyBorder="1" applyAlignment="1">
      <alignment horizontal="center" vertical="center"/>
    </xf>
    <xf numFmtId="190" fontId="6" fillId="0" borderId="190" xfId="0" applyNumberFormat="1" applyFont="1" applyBorder="1" applyAlignment="1">
      <alignment horizontal="center" vertical="center"/>
    </xf>
    <xf numFmtId="0" fontId="16" fillId="0" borderId="44" xfId="0" quotePrefix="1" applyFont="1" applyBorder="1" applyAlignment="1">
      <alignment horizontal="center" vertical="center"/>
    </xf>
    <xf numFmtId="0" fontId="6" fillId="0" borderId="153" xfId="0" applyFont="1" applyBorder="1" applyAlignment="1">
      <alignment horizontal="center" vertical="center"/>
    </xf>
    <xf numFmtId="0" fontId="6" fillId="0" borderId="89" xfId="0" applyFont="1" applyBorder="1" applyAlignment="1">
      <alignment horizontal="center" vertical="center"/>
    </xf>
    <xf numFmtId="0" fontId="15" fillId="0" borderId="153" xfId="0" applyFont="1" applyBorder="1" applyAlignment="1">
      <alignment horizontal="center" vertical="center"/>
    </xf>
    <xf numFmtId="0" fontId="15" fillId="0" borderId="139" xfId="0" applyFont="1" applyFill="1" applyBorder="1" applyAlignment="1">
      <alignment horizontal="center" vertical="center"/>
    </xf>
    <xf numFmtId="0" fontId="15" fillId="0" borderId="1" xfId="0" applyFont="1" applyFill="1" applyBorder="1" applyAlignment="1">
      <alignment horizontal="center" vertical="center"/>
    </xf>
    <xf numFmtId="0" fontId="3" fillId="0" borderId="69" xfId="0" applyFont="1" applyFill="1" applyBorder="1" applyAlignment="1">
      <alignment horizontal="center" vertical="center"/>
    </xf>
    <xf numFmtId="0" fontId="9" fillId="0" borderId="69" xfId="0" applyFont="1" applyFill="1" applyBorder="1" applyAlignment="1">
      <alignment horizontal="center" vertical="center"/>
    </xf>
    <xf numFmtId="0" fontId="3" fillId="0" borderId="195" xfId="0" applyFont="1" applyBorder="1" applyAlignment="1">
      <alignment horizontal="center" vertical="center"/>
    </xf>
    <xf numFmtId="0" fontId="0" fillId="0" borderId="188" xfId="0" applyBorder="1" applyAlignment="1">
      <alignment horizontal="center" vertical="center"/>
    </xf>
    <xf numFmtId="0" fontId="3" fillId="0" borderId="195" xfId="0" applyFont="1" applyBorder="1" applyAlignment="1">
      <alignment horizontal="center" vertical="center" shrinkToFit="1"/>
    </xf>
    <xf numFmtId="0" fontId="0" fillId="0" borderId="188" xfId="0" applyBorder="1" applyAlignment="1">
      <alignment vertical="center"/>
    </xf>
    <xf numFmtId="0" fontId="9" fillId="0" borderId="14" xfId="0" applyFont="1" applyBorder="1" applyAlignment="1">
      <alignment vertical="center" shrinkToFit="1"/>
    </xf>
    <xf numFmtId="0" fontId="9" fillId="0" borderId="14" xfId="0" applyFont="1" applyBorder="1" applyAlignment="1">
      <alignment horizontal="center" vertical="center"/>
    </xf>
    <xf numFmtId="0" fontId="3" fillId="0" borderId="0" xfId="0" applyFont="1" applyFill="1" applyAlignment="1">
      <alignment horizontal="center" vertical="center"/>
    </xf>
    <xf numFmtId="0" fontId="28" fillId="0" borderId="2" xfId="0" applyFont="1" applyBorder="1" applyAlignment="1" applyProtection="1">
      <alignment horizontal="center" vertical="center"/>
    </xf>
    <xf numFmtId="176" fontId="15" fillId="0" borderId="63" xfId="0" applyNumberFormat="1" applyFont="1" applyBorder="1" applyAlignment="1">
      <alignment horizontal="center" vertical="center"/>
    </xf>
    <xf numFmtId="0" fontId="35" fillId="0" borderId="132" xfId="0" applyFont="1" applyFill="1" applyBorder="1" applyAlignment="1" applyProtection="1">
      <alignment horizontal="center" vertical="center"/>
    </xf>
    <xf numFmtId="0" fontId="35" fillId="0" borderId="62" xfId="0" applyFont="1" applyFill="1" applyBorder="1" applyAlignment="1" applyProtection="1">
      <alignment horizontal="center" vertical="center"/>
    </xf>
    <xf numFmtId="0" fontId="37" fillId="0" borderId="129" xfId="0" applyFont="1" applyBorder="1" applyAlignment="1" applyProtection="1">
      <alignment horizontal="center" vertical="center"/>
    </xf>
    <xf numFmtId="0" fontId="35" fillId="0" borderId="153" xfId="0" applyFont="1" applyFill="1" applyBorder="1" applyAlignment="1" applyProtection="1">
      <alignment horizontal="center" vertical="center"/>
    </xf>
    <xf numFmtId="0" fontId="28" fillId="0" borderId="129" xfId="0" applyFont="1" applyBorder="1" applyAlignment="1" applyProtection="1">
      <alignment horizontal="center" vertical="center"/>
    </xf>
    <xf numFmtId="0" fontId="28" fillId="0" borderId="153" xfId="0" applyFont="1" applyBorder="1" applyAlignment="1" applyProtection="1">
      <alignment horizontal="center" vertical="center"/>
    </xf>
    <xf numFmtId="176" fontId="26" fillId="0" borderId="139" xfId="0" applyNumberFormat="1" applyFont="1" applyBorder="1" applyAlignment="1" applyProtection="1">
      <alignment horizontal="center" vertical="center"/>
    </xf>
    <xf numFmtId="176" fontId="27" fillId="0" borderId="189" xfId="0" applyNumberFormat="1" applyFont="1" applyFill="1" applyBorder="1" applyAlignment="1" applyProtection="1">
      <alignment horizontal="center" vertical="center"/>
    </xf>
    <xf numFmtId="176" fontId="27" fillId="0" borderId="62" xfId="0" applyNumberFormat="1" applyFont="1" applyFill="1" applyBorder="1" applyAlignment="1" applyProtection="1">
      <alignment horizontal="center" vertical="center"/>
    </xf>
    <xf numFmtId="0" fontId="27" fillId="0" borderId="153" xfId="0" applyFont="1" applyFill="1" applyBorder="1" applyProtection="1">
      <alignment vertical="center"/>
    </xf>
    <xf numFmtId="0" fontId="9" fillId="0" borderId="2" xfId="0" applyFont="1" applyBorder="1" applyAlignment="1">
      <alignment vertical="center" shrinkToFit="1"/>
    </xf>
    <xf numFmtId="0" fontId="0" fillId="2" borderId="2" xfId="0" applyFill="1" applyBorder="1" applyAlignment="1">
      <alignment horizontal="center" vertical="center"/>
    </xf>
    <xf numFmtId="0" fontId="0" fillId="5" borderId="2" xfId="0" applyFill="1" applyBorder="1" applyAlignment="1">
      <alignment horizontal="center" vertical="center"/>
    </xf>
    <xf numFmtId="0" fontId="15" fillId="0" borderId="130" xfId="0" applyFont="1" applyBorder="1" applyAlignment="1">
      <alignment horizontal="center" vertical="center" shrinkToFit="1"/>
    </xf>
    <xf numFmtId="0" fontId="0" fillId="0" borderId="0" xfId="0" applyFill="1" applyBorder="1" applyAlignment="1">
      <alignment vertical="center" shrinkToFit="1"/>
    </xf>
    <xf numFmtId="0" fontId="0" fillId="0" borderId="0" xfId="0" applyFill="1" applyBorder="1" applyAlignment="1">
      <alignment vertical="center"/>
    </xf>
    <xf numFmtId="0" fontId="0" fillId="0" borderId="0" xfId="0" applyFill="1" applyBorder="1" applyAlignment="1">
      <alignment horizontal="center" vertical="center"/>
    </xf>
    <xf numFmtId="0" fontId="0" fillId="0" borderId="0" xfId="0" applyNumberFormat="1" applyFill="1" applyBorder="1">
      <alignment vertical="center"/>
    </xf>
    <xf numFmtId="0" fontId="15" fillId="0" borderId="131" xfId="0" applyFont="1" applyBorder="1" applyAlignment="1">
      <alignment vertical="center" shrinkToFit="1"/>
    </xf>
    <xf numFmtId="0" fontId="15" fillId="0" borderId="193" xfId="0" applyFont="1" applyBorder="1">
      <alignment vertical="center"/>
    </xf>
    <xf numFmtId="0" fontId="38" fillId="0" borderId="0" xfId="0" applyFont="1" applyAlignment="1">
      <alignment vertical="center"/>
    </xf>
    <xf numFmtId="0" fontId="0" fillId="0" borderId="0" xfId="0" applyAlignment="1">
      <alignment horizontal="center" vertical="center"/>
    </xf>
    <xf numFmtId="0" fontId="6" fillId="0" borderId="0" xfId="0" applyFont="1" applyBorder="1" applyAlignment="1">
      <alignment horizontal="center" vertical="center" shrinkToFit="1"/>
    </xf>
    <xf numFmtId="0" fontId="6" fillId="0" borderId="0" xfId="0" applyFont="1" applyAlignment="1">
      <alignment horizontal="center" vertical="center" shrinkToFit="1"/>
    </xf>
    <xf numFmtId="0" fontId="6" fillId="0" borderId="3" xfId="0" applyFont="1" applyBorder="1" applyAlignment="1">
      <alignment horizontal="center" vertical="center" shrinkToFit="1"/>
    </xf>
    <xf numFmtId="0" fontId="15" fillId="0" borderId="0" xfId="0" applyFont="1" applyBorder="1" applyAlignment="1">
      <alignment horizontal="center" vertical="center" shrinkToFit="1"/>
    </xf>
    <xf numFmtId="0" fontId="0" fillId="0" borderId="0" xfId="0" applyAlignment="1">
      <alignment horizontal="center" vertical="center"/>
    </xf>
    <xf numFmtId="0" fontId="6" fillId="0" borderId="0" xfId="0" applyFont="1" applyBorder="1" applyAlignment="1">
      <alignment horizontal="center" vertical="center" shrinkToFit="1"/>
    </xf>
    <xf numFmtId="0" fontId="6" fillId="0" borderId="0" xfId="0" applyFont="1" applyAlignment="1">
      <alignment horizontal="center" vertical="center" shrinkToFit="1"/>
    </xf>
    <xf numFmtId="0" fontId="3" fillId="0" borderId="8" xfId="0" applyFont="1" applyBorder="1" applyAlignment="1">
      <alignment horizontal="center" vertical="center" shrinkToFit="1"/>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0" xfId="0" applyFill="1" applyBorder="1">
      <alignment vertical="center"/>
    </xf>
    <xf numFmtId="0" fontId="0" fillId="4" borderId="9" xfId="0" applyFill="1" applyBorder="1">
      <alignment vertical="center"/>
    </xf>
    <xf numFmtId="0" fontId="0" fillId="4" borderId="8" xfId="0" applyFill="1" applyBorder="1">
      <alignment vertical="center"/>
    </xf>
    <xf numFmtId="0" fontId="0" fillId="4" borderId="10" xfId="0" applyFill="1" applyBorder="1">
      <alignment vertical="center"/>
    </xf>
    <xf numFmtId="0" fontId="0" fillId="4" borderId="11" xfId="0" applyFill="1" applyBorder="1">
      <alignment vertical="center"/>
    </xf>
    <xf numFmtId="0" fontId="0" fillId="4" borderId="12" xfId="0" applyFill="1" applyBorder="1">
      <alignment vertical="center"/>
    </xf>
    <xf numFmtId="0" fontId="3" fillId="0" borderId="14" xfId="0" applyFont="1" applyBorder="1" applyAlignment="1">
      <alignment horizontal="center" vertical="center" shrinkToFit="1"/>
    </xf>
    <xf numFmtId="0" fontId="3" fillId="0" borderId="0" xfId="0" applyFont="1" applyFill="1" applyBorder="1" applyAlignment="1">
      <alignment vertical="center" shrinkToFit="1"/>
    </xf>
    <xf numFmtId="177" fontId="41" fillId="0" borderId="9" xfId="0" applyNumberFormat="1" applyFont="1" applyFill="1" applyBorder="1">
      <alignment vertical="center"/>
    </xf>
    <xf numFmtId="177" fontId="41" fillId="0" borderId="9" xfId="0" applyNumberFormat="1" applyFont="1" applyBorder="1">
      <alignment vertical="center"/>
    </xf>
    <xf numFmtId="0" fontId="29" fillId="0" borderId="0" xfId="0" applyFont="1" applyBorder="1" applyAlignment="1">
      <alignment horizontal="right" vertical="center" shrinkToFit="1"/>
    </xf>
    <xf numFmtId="0" fontId="9" fillId="0" borderId="0" xfId="0" applyFont="1" applyAlignment="1">
      <alignment horizontal="right" vertical="center" shrinkToFit="1"/>
    </xf>
    <xf numFmtId="0" fontId="16" fillId="0" borderId="0" xfId="0" applyFont="1" applyAlignment="1">
      <alignment horizontal="right" vertical="center" shrinkToFit="1"/>
    </xf>
    <xf numFmtId="0" fontId="6" fillId="0" borderId="0" xfId="0" applyFont="1" applyBorder="1" applyAlignment="1">
      <alignment horizontal="center" vertical="center" shrinkToFit="1"/>
    </xf>
    <xf numFmtId="0" fontId="6" fillId="0" borderId="0" xfId="0" applyFont="1" applyAlignment="1">
      <alignment horizontal="center" vertical="center" shrinkToFit="1"/>
    </xf>
    <xf numFmtId="0" fontId="15" fillId="0" borderId="0" xfId="0" applyFont="1" applyBorder="1" applyAlignment="1">
      <alignment horizontal="center" vertical="center" shrinkToFit="1"/>
    </xf>
    <xf numFmtId="0" fontId="6" fillId="0" borderId="0" xfId="0" applyFont="1" applyBorder="1" applyAlignment="1">
      <alignment horizontal="center" vertical="center"/>
    </xf>
    <xf numFmtId="0" fontId="15" fillId="0" borderId="0" xfId="0" applyFont="1" applyAlignment="1">
      <alignment horizontal="center" vertical="center" shrinkToFit="1"/>
    </xf>
    <xf numFmtId="0" fontId="9" fillId="0" borderId="3"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0" xfId="0" applyFont="1" applyAlignment="1">
      <alignment horizontal="center" vertical="center" shrinkToFit="1"/>
    </xf>
    <xf numFmtId="0" fontId="41" fillId="0" borderId="0" xfId="0" applyFont="1" applyBorder="1">
      <alignment vertical="center"/>
    </xf>
    <xf numFmtId="177" fontId="41" fillId="0" borderId="0" xfId="0" applyNumberFormat="1" applyFont="1" applyBorder="1" applyAlignment="1">
      <alignment horizontal="center" vertical="center"/>
    </xf>
    <xf numFmtId="177" fontId="41" fillId="0" borderId="0" xfId="0" applyNumberFormat="1" applyFont="1" applyBorder="1">
      <alignment vertical="center"/>
    </xf>
    <xf numFmtId="0" fontId="2" fillId="0" borderId="0" xfId="0" applyFont="1" applyAlignment="1">
      <alignment horizontal="right" vertical="center" shrinkToFit="1"/>
    </xf>
    <xf numFmtId="0" fontId="3" fillId="0" borderId="0" xfId="0" applyFont="1" applyAlignment="1">
      <alignment horizontal="right" vertical="center" shrinkToFit="1"/>
    </xf>
    <xf numFmtId="0" fontId="15" fillId="0" borderId="10" xfId="0" applyFont="1" applyBorder="1" applyAlignment="1">
      <alignment horizontal="center" vertical="center" shrinkToFit="1"/>
    </xf>
    <xf numFmtId="0" fontId="15" fillId="0" borderId="3" xfId="0" applyFont="1" applyBorder="1" applyAlignment="1">
      <alignment horizontal="right" vertical="center" shrinkToFit="1"/>
    </xf>
    <xf numFmtId="176" fontId="41" fillId="0" borderId="9" xfId="0" applyNumberFormat="1" applyFont="1" applyBorder="1">
      <alignment vertical="center"/>
    </xf>
    <xf numFmtId="0" fontId="3" fillId="0" borderId="3" xfId="0" applyFont="1" applyBorder="1" applyAlignment="1">
      <alignment horizontal="center" vertical="center" shrinkToFit="1"/>
    </xf>
    <xf numFmtId="0" fontId="3" fillId="0" borderId="11" xfId="0" applyFont="1" applyBorder="1" applyAlignment="1">
      <alignment horizontal="right" vertical="center"/>
    </xf>
    <xf numFmtId="0" fontId="41" fillId="0" borderId="0" xfId="0" applyNumberFormat="1" applyFont="1" applyBorder="1" applyAlignment="1">
      <alignment horizontal="center" vertical="center" shrinkToFit="1"/>
    </xf>
    <xf numFmtId="0" fontId="3" fillId="0" borderId="53" xfId="0" applyFont="1" applyBorder="1" applyAlignment="1">
      <alignment horizontal="right" vertical="center"/>
    </xf>
    <xf numFmtId="0" fontId="3" fillId="0" borderId="53" xfId="0" applyFont="1" applyBorder="1" applyAlignment="1">
      <alignment horizontal="right" vertical="center" shrinkToFit="1"/>
    </xf>
    <xf numFmtId="0" fontId="2" fillId="0" borderId="0" xfId="0" applyFont="1" applyAlignment="1">
      <alignment horizontal="center" vertical="center" shrinkToFit="1"/>
    </xf>
    <xf numFmtId="0" fontId="15" fillId="0" borderId="116" xfId="0" applyFont="1" applyBorder="1" applyAlignment="1">
      <alignment horizontal="center" vertical="center" shrinkToFit="1"/>
    </xf>
    <xf numFmtId="0" fontId="3" fillId="0" borderId="117" xfId="0" applyFont="1" applyBorder="1" applyAlignment="1">
      <alignment horizontal="right" vertical="center"/>
    </xf>
    <xf numFmtId="0" fontId="42" fillId="0" borderId="0" xfId="0" applyFont="1" applyFill="1" applyBorder="1" applyAlignment="1">
      <alignment vertical="center" shrinkToFit="1"/>
    </xf>
    <xf numFmtId="0" fontId="42" fillId="0" borderId="0" xfId="0" applyFont="1" applyFill="1" applyBorder="1">
      <alignment vertical="center"/>
    </xf>
    <xf numFmtId="0" fontId="41" fillId="0" borderId="0" xfId="0" applyFont="1" applyFill="1" applyBorder="1">
      <alignment vertical="center"/>
    </xf>
    <xf numFmtId="0" fontId="41" fillId="0" borderId="0" xfId="0" applyFont="1" applyFill="1" applyBorder="1" applyAlignment="1">
      <alignment vertical="center" shrinkToFit="1"/>
    </xf>
    <xf numFmtId="176" fontId="41" fillId="0" borderId="0" xfId="0" applyNumberFormat="1" applyFont="1" applyFill="1" applyBorder="1">
      <alignment vertical="center"/>
    </xf>
    <xf numFmtId="177" fontId="41" fillId="0" borderId="0" xfId="0" applyNumberFormat="1"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center" vertical="center"/>
    </xf>
    <xf numFmtId="0" fontId="41" fillId="0" borderId="0" xfId="0" applyFont="1" applyFill="1" applyBorder="1" applyAlignment="1">
      <alignment horizontal="center" vertical="center" shrinkToFit="1"/>
    </xf>
    <xf numFmtId="0" fontId="0" fillId="0" borderId="0" xfId="0" applyAlignment="1">
      <alignment horizontal="center" vertical="center"/>
    </xf>
    <xf numFmtId="0" fontId="42" fillId="0" borderId="0" xfId="0" applyFont="1" applyBorder="1" applyAlignment="1">
      <alignment horizontal="center" vertical="center"/>
    </xf>
    <xf numFmtId="0" fontId="41" fillId="0" borderId="0" xfId="0" applyFont="1" applyBorder="1" applyAlignment="1">
      <alignment horizontal="center" vertical="center"/>
    </xf>
    <xf numFmtId="0" fontId="41" fillId="0" borderId="0" xfId="0" applyFont="1">
      <alignment vertical="center"/>
    </xf>
    <xf numFmtId="0" fontId="41" fillId="0" borderId="0" xfId="0" applyFont="1" applyBorder="1" applyAlignment="1">
      <alignment vertical="center" shrinkToFit="1"/>
    </xf>
    <xf numFmtId="0" fontId="41" fillId="0" borderId="0" xfId="0" applyFont="1" applyBorder="1" applyAlignment="1">
      <alignment vertical="center"/>
    </xf>
    <xf numFmtId="0" fontId="43" fillId="0" borderId="0" xfId="0" applyFont="1" applyBorder="1" applyAlignment="1">
      <alignment horizontal="center" vertical="center"/>
    </xf>
    <xf numFmtId="0" fontId="44" fillId="0" borderId="0" xfId="0" applyFont="1" applyBorder="1">
      <alignment vertical="center"/>
    </xf>
    <xf numFmtId="0" fontId="44" fillId="0" borderId="0" xfId="0" applyFont="1" applyBorder="1" applyAlignment="1">
      <alignment horizontal="center" vertical="center"/>
    </xf>
    <xf numFmtId="177" fontId="44" fillId="0" borderId="0" xfId="0" applyNumberFormat="1" applyFont="1" applyBorder="1">
      <alignment vertical="center"/>
    </xf>
    <xf numFmtId="0" fontId="44" fillId="0" borderId="0" xfId="0" applyFont="1" applyBorder="1" applyAlignment="1">
      <alignment vertical="center" shrinkToFit="1"/>
    </xf>
    <xf numFmtId="0" fontId="44" fillId="0" borderId="0" xfId="0" applyFont="1">
      <alignment vertical="center"/>
    </xf>
    <xf numFmtId="0" fontId="44" fillId="0" borderId="0" xfId="0" applyFont="1" applyBorder="1" applyAlignment="1">
      <alignment vertical="center"/>
    </xf>
    <xf numFmtId="180" fontId="3" fillId="0" borderId="0" xfId="0" applyNumberFormat="1" applyFont="1" applyBorder="1">
      <alignment vertical="center"/>
    </xf>
    <xf numFmtId="185" fontId="3" fillId="0" borderId="0" xfId="0" applyNumberFormat="1" applyFont="1" applyBorder="1">
      <alignment vertical="center"/>
    </xf>
    <xf numFmtId="0" fontId="3" fillId="0" borderId="0" xfId="0" applyFont="1" applyFill="1" applyBorder="1" applyAlignment="1">
      <alignment vertical="center"/>
    </xf>
    <xf numFmtId="177" fontId="6" fillId="0" borderId="0" xfId="0" applyNumberFormat="1" applyFont="1" applyAlignment="1">
      <alignment vertical="center"/>
    </xf>
    <xf numFmtId="0" fontId="41" fillId="0" borderId="0" xfId="0" applyFont="1" applyAlignment="1">
      <alignment horizontal="center" vertical="center"/>
    </xf>
    <xf numFmtId="0" fontId="41" fillId="0" borderId="0" xfId="0" applyFont="1" applyAlignment="1">
      <alignment vertical="center" shrinkToFit="1"/>
    </xf>
    <xf numFmtId="0" fontId="41" fillId="0" borderId="0" xfId="0" applyFont="1" applyAlignment="1">
      <alignment horizontal="center" vertical="center" shrinkToFit="1"/>
    </xf>
    <xf numFmtId="0" fontId="3" fillId="0" borderId="125" xfId="0" applyFont="1" applyBorder="1" applyAlignment="1">
      <alignment horizontal="center" vertical="center" shrinkToFit="1"/>
    </xf>
    <xf numFmtId="0" fontId="3" fillId="0" borderId="0" xfId="0" quotePrefix="1" applyFont="1">
      <alignment vertical="center"/>
    </xf>
    <xf numFmtId="0" fontId="0" fillId="0" borderId="127" xfId="0" applyBorder="1">
      <alignment vertical="center"/>
    </xf>
    <xf numFmtId="0" fontId="0" fillId="0" borderId="62" xfId="0" applyBorder="1" applyAlignment="1">
      <alignment horizontal="center" vertical="center"/>
    </xf>
    <xf numFmtId="0" fontId="0" fillId="0" borderId="13" xfId="0" applyBorder="1" applyAlignment="1">
      <alignment horizontal="center" vertical="center"/>
    </xf>
    <xf numFmtId="0" fontId="0" fillId="0" borderId="191" xfId="0" applyBorder="1" applyAlignment="1">
      <alignment horizontal="center" vertical="center"/>
    </xf>
    <xf numFmtId="0" fontId="0" fillId="0" borderId="90" xfId="0" applyBorder="1">
      <alignment vertical="center"/>
    </xf>
    <xf numFmtId="0" fontId="0" fillId="0" borderId="159" xfId="0" applyBorder="1">
      <alignment vertical="center"/>
    </xf>
    <xf numFmtId="0" fontId="0" fillId="0" borderId="23" xfId="0" applyBorder="1">
      <alignment vertical="center"/>
    </xf>
    <xf numFmtId="0" fontId="6" fillId="2" borderId="140" xfId="0" applyFont="1" applyFill="1" applyBorder="1" applyAlignment="1" applyProtection="1">
      <alignment vertical="center" shrinkToFit="1"/>
      <protection locked="0"/>
    </xf>
    <xf numFmtId="0" fontId="6" fillId="2" borderId="28" xfId="0" applyFont="1" applyFill="1" applyBorder="1" applyAlignment="1" applyProtection="1">
      <alignment vertical="center" shrinkToFit="1"/>
      <protection locked="0"/>
    </xf>
    <xf numFmtId="0" fontId="6" fillId="2" borderId="2" xfId="0" applyFont="1" applyFill="1" applyBorder="1" applyAlignment="1" applyProtection="1">
      <alignment horizontal="center" vertical="center"/>
      <protection locked="0"/>
    </xf>
    <xf numFmtId="176" fontId="6" fillId="2" borderId="28" xfId="0" applyNumberFormat="1" applyFont="1" applyFill="1" applyBorder="1" applyAlignment="1" applyProtection="1">
      <alignment vertical="center" shrinkToFit="1"/>
      <protection locked="0"/>
    </xf>
    <xf numFmtId="177" fontId="6" fillId="2" borderId="28" xfId="0" applyNumberFormat="1" applyFont="1" applyFill="1" applyBorder="1" applyAlignment="1" applyProtection="1">
      <alignment horizontal="center" vertical="center" shrinkToFit="1"/>
      <protection locked="0"/>
    </xf>
    <xf numFmtId="0" fontId="15" fillId="5" borderId="2" xfId="0" applyFont="1" applyFill="1" applyBorder="1" applyProtection="1">
      <alignment vertical="center"/>
      <protection locked="0"/>
    </xf>
    <xf numFmtId="0" fontId="15" fillId="5" borderId="63" xfId="0" applyFont="1" applyFill="1" applyBorder="1" applyProtection="1">
      <alignment vertical="center"/>
      <protection locked="0"/>
    </xf>
    <xf numFmtId="0" fontId="15" fillId="5" borderId="126" xfId="0" applyFont="1" applyFill="1" applyBorder="1" applyProtection="1">
      <alignment vertical="center"/>
      <protection locked="0"/>
    </xf>
    <xf numFmtId="0" fontId="15" fillId="5" borderId="62" xfId="0" applyFont="1" applyFill="1" applyBorder="1" applyProtection="1">
      <alignment vertical="center"/>
      <protection locked="0"/>
    </xf>
    <xf numFmtId="0" fontId="6" fillId="2" borderId="28" xfId="0" applyFont="1" applyFill="1" applyBorder="1" applyAlignment="1" applyProtection="1">
      <alignment horizontal="center" vertical="center" shrinkToFit="1"/>
      <protection locked="0"/>
    </xf>
    <xf numFmtId="180" fontId="6" fillId="2" borderId="2" xfId="0" applyNumberFormat="1" applyFont="1" applyFill="1" applyBorder="1" applyAlignment="1" applyProtection="1">
      <alignment vertical="center" shrinkToFit="1"/>
      <protection locked="0"/>
    </xf>
    <xf numFmtId="0" fontId="6" fillId="2" borderId="2" xfId="0" applyFont="1" applyFill="1" applyBorder="1" applyProtection="1">
      <alignment vertical="center"/>
      <protection locked="0"/>
    </xf>
    <xf numFmtId="177" fontId="6" fillId="5" borderId="2" xfId="0" applyNumberFormat="1" applyFont="1" applyFill="1" applyBorder="1" applyProtection="1">
      <alignment vertical="center"/>
      <protection locked="0"/>
    </xf>
    <xf numFmtId="183" fontId="6" fillId="2" borderId="2" xfId="0" applyNumberFormat="1" applyFont="1" applyFill="1" applyBorder="1" applyAlignment="1" applyProtection="1">
      <alignment horizontal="center" vertical="center"/>
      <protection locked="0"/>
    </xf>
    <xf numFmtId="177" fontId="6" fillId="2" borderId="2" xfId="0" applyNumberFormat="1" applyFont="1" applyFill="1" applyBorder="1" applyAlignment="1" applyProtection="1">
      <alignment horizontal="center" vertical="center"/>
      <protection locked="0"/>
    </xf>
    <xf numFmtId="177" fontId="6" fillId="5" borderId="2" xfId="0" applyNumberFormat="1" applyFont="1" applyFill="1" applyBorder="1" applyAlignment="1" applyProtection="1">
      <alignment horizontal="center" vertical="center"/>
      <protection locked="0"/>
    </xf>
    <xf numFmtId="177" fontId="6" fillId="5" borderId="28" xfId="0" applyNumberFormat="1" applyFont="1" applyFill="1" applyBorder="1" applyAlignment="1" applyProtection="1">
      <alignment horizontal="center" vertical="center"/>
      <protection locked="0"/>
    </xf>
    <xf numFmtId="0" fontId="6" fillId="2" borderId="63" xfId="0" applyFont="1" applyFill="1" applyBorder="1" applyAlignment="1" applyProtection="1">
      <alignment horizontal="center" vertical="center"/>
      <protection locked="0"/>
    </xf>
    <xf numFmtId="0" fontId="6" fillId="2" borderId="125" xfId="0" applyFont="1" applyFill="1" applyBorder="1" applyAlignment="1" applyProtection="1">
      <alignment vertical="center" shrinkToFit="1"/>
      <protection locked="0"/>
    </xf>
    <xf numFmtId="0" fontId="6" fillId="2" borderId="2" xfId="0" applyFont="1" applyFill="1" applyBorder="1" applyAlignment="1" applyProtection="1">
      <alignment vertical="center" shrinkToFit="1"/>
      <protection locked="0"/>
    </xf>
    <xf numFmtId="0" fontId="6" fillId="2" borderId="139" xfId="0" applyFont="1" applyFill="1" applyBorder="1" applyAlignment="1" applyProtection="1">
      <alignment horizontal="center" vertical="center" shrinkToFit="1"/>
      <protection locked="0"/>
    </xf>
    <xf numFmtId="0" fontId="6" fillId="2" borderId="28" xfId="0" applyFont="1" applyFill="1" applyBorder="1" applyAlignment="1" applyProtection="1">
      <alignment horizontal="right" vertical="center" shrinkToFit="1"/>
      <protection locked="0"/>
    </xf>
    <xf numFmtId="0" fontId="6" fillId="2" borderId="2" xfId="0" applyFont="1" applyFill="1" applyBorder="1" applyAlignment="1" applyProtection="1">
      <alignment horizontal="center" vertical="center" shrinkToFit="1"/>
      <protection locked="0"/>
    </xf>
    <xf numFmtId="0" fontId="15" fillId="4" borderId="2" xfId="0" applyFont="1" applyFill="1" applyBorder="1" applyProtection="1">
      <alignment vertical="center"/>
      <protection locked="0"/>
    </xf>
    <xf numFmtId="0" fontId="15" fillId="2" borderId="125" xfId="0" applyFont="1" applyFill="1" applyBorder="1" applyAlignment="1" applyProtection="1">
      <alignment vertical="center" shrinkToFit="1"/>
      <protection locked="0"/>
    </xf>
    <xf numFmtId="0" fontId="15" fillId="2" borderId="2" xfId="0" applyFont="1" applyFill="1" applyBorder="1" applyAlignment="1" applyProtection="1">
      <alignment vertical="center" shrinkToFit="1"/>
      <protection locked="0"/>
    </xf>
    <xf numFmtId="0" fontId="15" fillId="2" borderId="2" xfId="0" applyFont="1" applyFill="1" applyBorder="1" applyAlignment="1" applyProtection="1">
      <alignment horizontal="center" vertical="center"/>
      <protection locked="0"/>
    </xf>
    <xf numFmtId="0" fontId="15" fillId="2" borderId="2" xfId="0" applyFont="1" applyFill="1" applyBorder="1" applyAlignment="1" applyProtection="1">
      <alignment horizontal="center" vertical="center" shrinkToFit="1"/>
      <protection locked="0"/>
    </xf>
    <xf numFmtId="183" fontId="15" fillId="2" borderId="2" xfId="0" applyNumberFormat="1" applyFont="1" applyFill="1" applyBorder="1" applyAlignment="1" applyProtection="1">
      <alignment horizontal="center" vertical="center"/>
      <protection locked="0"/>
    </xf>
    <xf numFmtId="183" fontId="15" fillId="2" borderId="2" xfId="0" applyNumberFormat="1" applyFont="1" applyFill="1" applyBorder="1" applyProtection="1">
      <alignment vertical="center"/>
      <protection locked="0"/>
    </xf>
    <xf numFmtId="0" fontId="15" fillId="2" borderId="2" xfId="0" applyFont="1" applyFill="1" applyBorder="1" applyAlignment="1" applyProtection="1">
      <alignment horizontal="right" vertical="center" shrinkToFit="1"/>
      <protection locked="0"/>
    </xf>
    <xf numFmtId="177" fontId="15" fillId="5" borderId="2" xfId="0" applyNumberFormat="1" applyFont="1" applyFill="1" applyBorder="1" applyAlignment="1" applyProtection="1">
      <alignment horizontal="center" vertical="center"/>
      <protection locked="0"/>
    </xf>
    <xf numFmtId="0" fontId="6" fillId="2" borderId="132" xfId="0" applyFont="1" applyFill="1" applyBorder="1" applyAlignment="1" applyProtection="1">
      <alignment horizontal="center" vertical="center" shrinkToFit="1"/>
      <protection locked="0"/>
    </xf>
    <xf numFmtId="0" fontId="6" fillId="5" borderId="2" xfId="0" applyFont="1" applyFill="1" applyBorder="1" applyProtection="1">
      <alignment vertical="center"/>
      <protection locked="0"/>
    </xf>
    <xf numFmtId="0" fontId="15" fillId="2" borderId="28" xfId="0" applyFont="1" applyFill="1" applyBorder="1" applyAlignment="1" applyProtection="1">
      <alignment horizontal="center" vertical="center" shrinkToFit="1"/>
      <protection locked="0"/>
    </xf>
    <xf numFmtId="0" fontId="15" fillId="5" borderId="28" xfId="0" applyFont="1" applyFill="1" applyBorder="1" applyAlignment="1" applyProtection="1">
      <alignment horizontal="right" vertical="center" indent="1" shrinkToFit="1"/>
      <protection locked="0"/>
    </xf>
    <xf numFmtId="0" fontId="15" fillId="2" borderId="188" xfId="0" applyFont="1" applyFill="1" applyBorder="1" applyAlignment="1" applyProtection="1">
      <alignment horizontal="right" vertical="center" indent="1" shrinkToFit="1"/>
      <protection locked="0"/>
    </xf>
    <xf numFmtId="0" fontId="6" fillId="2" borderId="62" xfId="0" applyFont="1" applyFill="1" applyBorder="1" applyAlignment="1" applyProtection="1">
      <alignment horizontal="center" vertical="center" shrinkToFit="1"/>
      <protection locked="0"/>
    </xf>
    <xf numFmtId="0" fontId="0" fillId="5" borderId="2" xfId="0" applyFill="1" applyBorder="1" applyProtection="1">
      <alignment vertical="center"/>
      <protection locked="0"/>
    </xf>
    <xf numFmtId="183" fontId="15" fillId="2" borderId="194" xfId="0" applyNumberFormat="1" applyFont="1" applyFill="1" applyBorder="1" applyProtection="1">
      <alignment vertical="center"/>
      <protection locked="0"/>
    </xf>
    <xf numFmtId="0" fontId="15" fillId="5" borderId="132" xfId="0" applyFont="1" applyFill="1" applyBorder="1" applyProtection="1">
      <alignment vertical="center"/>
      <protection locked="0"/>
    </xf>
    <xf numFmtId="176" fontId="15" fillId="5" borderId="2" xfId="0" applyNumberFormat="1" applyFont="1" applyFill="1" applyBorder="1" applyProtection="1">
      <alignment vertical="center"/>
      <protection locked="0"/>
    </xf>
    <xf numFmtId="0" fontId="15" fillId="2" borderId="140" xfId="0" applyFont="1" applyFill="1" applyBorder="1" applyAlignment="1" applyProtection="1">
      <alignment vertical="center" shrinkToFit="1"/>
      <protection locked="0"/>
    </xf>
    <xf numFmtId="0" fontId="15" fillId="2" borderId="28" xfId="0" applyFont="1" applyFill="1" applyBorder="1" applyAlignment="1" applyProtection="1">
      <alignment vertical="center" shrinkToFit="1"/>
      <protection locked="0"/>
    </xf>
    <xf numFmtId="0" fontId="15" fillId="5" borderId="2" xfId="0" applyFont="1" applyFill="1" applyBorder="1" applyAlignment="1" applyProtection="1">
      <alignment horizontal="center" vertical="center" shrinkToFit="1"/>
      <protection locked="0"/>
    </xf>
    <xf numFmtId="0" fontId="15" fillId="5" borderId="2" xfId="0" applyFont="1" applyFill="1" applyBorder="1" applyAlignment="1" applyProtection="1">
      <alignment horizontal="right" vertical="center" indent="1" shrinkToFit="1"/>
      <protection locked="0"/>
    </xf>
    <xf numFmtId="0" fontId="9" fillId="5" borderId="2" xfId="0" applyFont="1" applyFill="1" applyBorder="1" applyAlignment="1" applyProtection="1">
      <alignment horizontal="right" vertical="center" indent="1"/>
      <protection locked="0"/>
    </xf>
    <xf numFmtId="0" fontId="15" fillId="2" borderId="63" xfId="0" applyFont="1" applyFill="1" applyBorder="1" applyAlignment="1" applyProtection="1">
      <alignment horizontal="right" vertical="center" shrinkToFit="1"/>
      <protection locked="0"/>
    </xf>
    <xf numFmtId="0" fontId="6" fillId="5" borderId="63" xfId="0" applyFont="1" applyFill="1" applyBorder="1" applyProtection="1">
      <alignment vertical="center"/>
      <protection locked="0"/>
    </xf>
    <xf numFmtId="0" fontId="15" fillId="2" borderId="1" xfId="0" applyFont="1" applyFill="1" applyBorder="1" applyAlignment="1" applyProtection="1">
      <alignment vertical="center" shrinkToFit="1"/>
      <protection locked="0"/>
    </xf>
    <xf numFmtId="0" fontId="15" fillId="2" borderId="1" xfId="0" applyFont="1" applyFill="1" applyBorder="1" applyAlignment="1" applyProtection="1">
      <alignment horizontal="center" vertical="center"/>
      <protection locked="0"/>
    </xf>
    <xf numFmtId="0" fontId="9" fillId="5" borderId="28" xfId="0" applyFont="1" applyFill="1" applyBorder="1" applyProtection="1">
      <alignment vertical="center"/>
      <protection locked="0"/>
    </xf>
    <xf numFmtId="177" fontId="9" fillId="5" borderId="2" xfId="0" applyNumberFormat="1" applyFont="1" applyFill="1" applyBorder="1" applyAlignment="1" applyProtection="1">
      <alignment horizontal="center" vertical="center" shrinkToFit="1"/>
      <protection locked="0"/>
    </xf>
    <xf numFmtId="177" fontId="9" fillId="5" borderId="2" xfId="0" applyNumberFormat="1" applyFont="1" applyFill="1" applyBorder="1" applyAlignment="1" applyProtection="1">
      <alignment horizontal="center" vertical="center"/>
      <protection locked="0"/>
    </xf>
    <xf numFmtId="177" fontId="9" fillId="5" borderId="63" xfId="0" applyNumberFormat="1" applyFont="1" applyFill="1" applyBorder="1" applyAlignment="1" applyProtection="1">
      <alignment horizontal="center" vertical="center"/>
      <protection locked="0"/>
    </xf>
    <xf numFmtId="0" fontId="15" fillId="5" borderId="2" xfId="0" applyFont="1" applyFill="1" applyBorder="1" applyAlignment="1" applyProtection="1">
      <alignment vertical="center" shrinkToFit="1"/>
      <protection locked="0"/>
    </xf>
    <xf numFmtId="0" fontId="15" fillId="0" borderId="130" xfId="0" applyFont="1" applyBorder="1" applyAlignment="1" applyProtection="1">
      <alignment horizontal="center" vertical="center" shrinkToFit="1"/>
      <protection locked="0"/>
    </xf>
    <xf numFmtId="0" fontId="6" fillId="0" borderId="127" xfId="0" applyFont="1" applyBorder="1" applyAlignment="1" applyProtection="1">
      <alignment horizontal="center" vertical="center" shrinkToFit="1"/>
      <protection locked="0"/>
    </xf>
    <xf numFmtId="0" fontId="15" fillId="0" borderId="130" xfId="0" applyFont="1" applyFill="1" applyBorder="1" applyAlignment="1" applyProtection="1">
      <alignment horizontal="center" vertical="center" shrinkToFit="1"/>
      <protection locked="0"/>
    </xf>
    <xf numFmtId="0" fontId="6" fillId="0" borderId="130" xfId="0" applyFont="1" applyFill="1" applyBorder="1" applyAlignment="1" applyProtection="1">
      <alignment horizontal="center" vertical="center" shrinkToFit="1"/>
      <protection locked="0"/>
    </xf>
    <xf numFmtId="0" fontId="15" fillId="0" borderId="130" xfId="0" applyFont="1" applyFill="1" applyBorder="1" applyAlignment="1" applyProtection="1">
      <alignment horizontal="center" vertical="center"/>
      <protection locked="0"/>
    </xf>
    <xf numFmtId="0" fontId="15" fillId="0" borderId="127" xfId="0" applyFont="1" applyFill="1" applyBorder="1" applyAlignment="1" applyProtection="1">
      <alignment horizontal="center" vertical="center"/>
      <protection locked="0"/>
    </xf>
    <xf numFmtId="0" fontId="15" fillId="0" borderId="2" xfId="0" applyFont="1" applyBorder="1" applyAlignment="1" applyProtection="1">
      <alignment horizontal="center" vertical="center" shrinkToFit="1"/>
      <protection locked="0"/>
    </xf>
    <xf numFmtId="0" fontId="15" fillId="0" borderId="2" xfId="0" applyFont="1" applyBorder="1" applyProtection="1">
      <alignment vertical="center"/>
      <protection locked="0"/>
    </xf>
    <xf numFmtId="0" fontId="15" fillId="0" borderId="2" xfId="0" applyFont="1" applyFill="1" applyBorder="1" applyAlignment="1" applyProtection="1">
      <alignment horizontal="center" vertical="center" shrinkToFit="1"/>
      <protection locked="0"/>
    </xf>
    <xf numFmtId="0" fontId="15" fillId="0" borderId="2" xfId="0" applyFont="1" applyFill="1" applyBorder="1" applyProtection="1">
      <alignment vertical="center"/>
      <protection locked="0"/>
    </xf>
    <xf numFmtId="0" fontId="9" fillId="0" borderId="2" xfId="0" applyFont="1" applyFill="1" applyBorder="1" applyAlignment="1" applyProtection="1">
      <alignment horizontal="center" vertical="center" shrinkToFit="1"/>
      <protection locked="0"/>
    </xf>
    <xf numFmtId="0" fontId="3" fillId="0" borderId="2" xfId="0" applyFont="1" applyFill="1" applyBorder="1" applyAlignment="1" applyProtection="1">
      <alignment horizontal="center" vertical="center" shrinkToFit="1"/>
      <protection locked="0"/>
    </xf>
    <xf numFmtId="0" fontId="3" fillId="0" borderId="2" xfId="0" applyFont="1" applyFill="1" applyBorder="1" applyProtection="1">
      <alignment vertical="center"/>
      <protection locked="0"/>
    </xf>
    <xf numFmtId="0" fontId="9" fillId="0" borderId="2"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2" xfId="0" applyFont="1" applyFill="1" applyBorder="1" applyAlignment="1" applyProtection="1">
      <alignment vertical="center" shrinkToFit="1"/>
      <protection locked="0"/>
    </xf>
    <xf numFmtId="0" fontId="9" fillId="0" borderId="130" xfId="0" applyFont="1" applyFill="1" applyBorder="1" applyAlignment="1" applyProtection="1">
      <alignment horizontal="center" vertical="center" shrinkToFit="1"/>
      <protection locked="0"/>
    </xf>
    <xf numFmtId="0" fontId="3" fillId="0" borderId="130" xfId="0" applyFont="1" applyFill="1" applyBorder="1" applyAlignment="1" applyProtection="1">
      <alignment horizontal="center" vertical="center" shrinkToFit="1"/>
      <protection locked="0"/>
    </xf>
    <xf numFmtId="0" fontId="3" fillId="0" borderId="130" xfId="0" applyFont="1" applyFill="1" applyBorder="1" applyProtection="1">
      <alignment vertical="center"/>
      <protection locked="0"/>
    </xf>
    <xf numFmtId="0" fontId="3" fillId="0" borderId="130" xfId="0" applyFont="1" applyFill="1" applyBorder="1" applyAlignment="1" applyProtection="1">
      <alignment vertical="center" shrinkToFit="1"/>
      <protection locked="0"/>
    </xf>
    <xf numFmtId="0" fontId="9" fillId="0" borderId="130" xfId="0" applyFont="1" applyFill="1" applyBorder="1" applyAlignment="1" applyProtection="1">
      <alignment horizontal="center" vertical="center"/>
      <protection locked="0"/>
    </xf>
    <xf numFmtId="0" fontId="3" fillId="0" borderId="130" xfId="0" applyFont="1" applyFill="1" applyBorder="1" applyAlignment="1" applyProtection="1">
      <alignment horizontal="center" vertical="center"/>
      <protection locked="0"/>
    </xf>
    <xf numFmtId="0" fontId="3" fillId="0" borderId="127" xfId="0" applyFont="1" applyFill="1" applyBorder="1" applyAlignment="1" applyProtection="1">
      <alignment horizontal="center" vertical="center"/>
      <protection locked="0"/>
    </xf>
    <xf numFmtId="0" fontId="3" fillId="0" borderId="127" xfId="0" applyFont="1" applyFill="1" applyBorder="1" applyAlignment="1" applyProtection="1">
      <alignment horizontal="center" vertical="center" shrinkToFit="1"/>
      <protection locked="0"/>
    </xf>
    <xf numFmtId="0" fontId="46" fillId="0" borderId="0" xfId="0" applyFont="1" applyAlignment="1">
      <alignment horizontal="center" vertical="center"/>
    </xf>
    <xf numFmtId="0" fontId="0" fillId="0" borderId="0" xfId="0" applyAlignment="1">
      <alignment horizontal="center" vertical="center"/>
    </xf>
    <xf numFmtId="0" fontId="34" fillId="4" borderId="8" xfId="0" applyFont="1" applyFill="1" applyBorder="1" applyAlignment="1">
      <alignment horizontal="center" vertical="center"/>
    </xf>
    <xf numFmtId="0" fontId="0" fillId="4" borderId="0" xfId="0" applyFill="1" applyBorder="1" applyAlignment="1">
      <alignment horizontal="center" vertical="center"/>
    </xf>
    <xf numFmtId="0" fontId="0" fillId="4" borderId="8" xfId="0" applyFill="1" applyBorder="1" applyAlignment="1">
      <alignment horizontal="center" vertical="center"/>
    </xf>
    <xf numFmtId="0" fontId="39" fillId="4" borderId="0" xfId="0" applyFont="1" applyFill="1" applyBorder="1" applyAlignment="1">
      <alignment horizontal="center"/>
    </xf>
    <xf numFmtId="0" fontId="0" fillId="4" borderId="9" xfId="0" applyFill="1" applyBorder="1" applyAlignment="1">
      <alignment horizontal="center"/>
    </xf>
    <xf numFmtId="0" fontId="0" fillId="4" borderId="0" xfId="0" applyFill="1" applyBorder="1" applyAlignment="1">
      <alignment horizontal="center"/>
    </xf>
    <xf numFmtId="0" fontId="45" fillId="0" borderId="0" xfId="0" applyFont="1" applyAlignment="1">
      <alignment horizontal="center" vertical="center"/>
    </xf>
    <xf numFmtId="0" fontId="0" fillId="0" borderId="0" xfId="0" applyAlignment="1">
      <alignment horizontal="center" vertical="center" wrapText="1"/>
    </xf>
    <xf numFmtId="0" fontId="0" fillId="0" borderId="196" xfId="0" applyNumberFormat="1" applyBorder="1" applyAlignment="1">
      <alignment horizontal="center" vertical="center"/>
    </xf>
    <xf numFmtId="49" fontId="0" fillId="0" borderId="63" xfId="0" quotePrefix="1" applyNumberFormat="1" applyBorder="1" applyAlignment="1">
      <alignment horizontal="center" vertical="center"/>
    </xf>
    <xf numFmtId="0" fontId="0" fillId="0" borderId="63" xfId="0" applyBorder="1" applyAlignment="1">
      <alignment horizontal="center" vertical="center"/>
    </xf>
    <xf numFmtId="0" fontId="7" fillId="0" borderId="0" xfId="0" applyFont="1" applyAlignment="1">
      <alignment horizontal="center" vertical="center"/>
    </xf>
    <xf numFmtId="0" fontId="6" fillId="0" borderId="149"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143" xfId="0" applyFont="1" applyBorder="1" applyAlignment="1">
      <alignment horizontal="center" vertical="center" shrinkToFit="1"/>
    </xf>
    <xf numFmtId="0" fontId="6" fillId="0" borderId="144" xfId="0" applyFont="1" applyBorder="1" applyAlignment="1">
      <alignment horizontal="center" vertical="center" shrinkToFit="1"/>
    </xf>
    <xf numFmtId="0" fontId="6" fillId="0" borderId="8"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0" xfId="0" applyFont="1"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6" fillId="0" borderId="133" xfId="0" applyFont="1" applyBorder="1" applyAlignment="1">
      <alignment horizontal="center" vertical="center" shrinkToFit="1"/>
    </xf>
    <xf numFmtId="0" fontId="0" fillId="0" borderId="134" xfId="0" applyBorder="1" applyAlignment="1">
      <alignment horizontal="center" vertical="center" shrinkToFit="1"/>
    </xf>
    <xf numFmtId="0" fontId="15" fillId="0" borderId="14" xfId="0" applyFont="1" applyBorder="1" applyAlignment="1">
      <alignment vertical="center" wrapText="1" shrinkToFit="1"/>
    </xf>
    <xf numFmtId="0" fontId="6" fillId="0" borderId="14" xfId="0" applyFont="1" applyBorder="1" applyAlignment="1">
      <alignment horizontal="center" vertical="center" wrapText="1" shrinkToFit="1"/>
    </xf>
    <xf numFmtId="0" fontId="0" fillId="0" borderId="6" xfId="0" applyBorder="1" applyAlignment="1">
      <alignment horizontal="center" vertical="center" shrinkToFit="1"/>
    </xf>
    <xf numFmtId="0" fontId="6" fillId="0" borderId="144" xfId="0" applyFont="1" applyBorder="1" applyAlignment="1">
      <alignment horizontal="center" vertical="center"/>
    </xf>
    <xf numFmtId="0" fontId="6" fillId="0" borderId="144" xfId="0" applyFont="1" applyBorder="1" applyAlignment="1">
      <alignment vertical="center"/>
    </xf>
    <xf numFmtId="0" fontId="6" fillId="0" borderId="145" xfId="0" applyFont="1" applyBorder="1" applyAlignment="1">
      <alignment horizontal="center" vertical="center" shrinkToFit="1"/>
    </xf>
    <xf numFmtId="0" fontId="6" fillId="0" borderId="142" xfId="0" applyFont="1" applyBorder="1" applyAlignment="1">
      <alignment horizontal="center" vertical="center" shrinkToFit="1"/>
    </xf>
    <xf numFmtId="0" fontId="6" fillId="0" borderId="147" xfId="0" applyFont="1" applyBorder="1" applyAlignment="1">
      <alignment vertical="center"/>
    </xf>
    <xf numFmtId="0" fontId="6" fillId="0" borderId="142" xfId="0" applyFont="1" applyBorder="1" applyAlignment="1">
      <alignment vertical="center"/>
    </xf>
    <xf numFmtId="176" fontId="6" fillId="0" borderId="142" xfId="0" applyNumberFormat="1" applyFont="1" applyBorder="1" applyAlignment="1">
      <alignment horizontal="center" vertical="center"/>
    </xf>
    <xf numFmtId="176" fontId="6" fillId="0" borderId="147" xfId="0" applyNumberFormat="1" applyFont="1" applyBorder="1" applyAlignment="1">
      <alignment horizontal="center" vertical="center"/>
    </xf>
    <xf numFmtId="0" fontId="6" fillId="0" borderId="111" xfId="0" applyFont="1" applyBorder="1" applyAlignment="1">
      <alignment horizontal="center" vertical="center" shrinkToFit="1"/>
    </xf>
    <xf numFmtId="0" fontId="0" fillId="0" borderId="157" xfId="0" applyBorder="1" applyAlignment="1">
      <alignment horizontal="center" vertical="center" shrinkToFit="1"/>
    </xf>
    <xf numFmtId="0" fontId="0" fillId="0" borderId="156" xfId="0"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6" fillId="0" borderId="0" xfId="0" applyFont="1" applyAlignment="1">
      <alignment horizontal="center" vertical="center" shrinkToFit="1"/>
    </xf>
    <xf numFmtId="0" fontId="6" fillId="0" borderId="3" xfId="0" applyFont="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0" xfId="0" applyFont="1" applyAlignment="1">
      <alignment horizontal="center" vertical="center" shrinkToFit="1"/>
    </xf>
    <xf numFmtId="0" fontId="6" fillId="0" borderId="33" xfId="0" applyFont="1" applyBorder="1" applyAlignment="1">
      <alignment horizontal="center" vertical="center" shrinkToFit="1"/>
    </xf>
    <xf numFmtId="0" fontId="6" fillId="0" borderId="31" xfId="0" applyFont="1" applyBorder="1" applyAlignment="1">
      <alignment horizontal="center" vertical="center" shrinkToFit="1"/>
    </xf>
    <xf numFmtId="0" fontId="3" fillId="0" borderId="0" xfId="0" applyFont="1" applyBorder="1" applyAlignment="1">
      <alignment horizontal="center" vertical="center" shrinkToFit="1"/>
    </xf>
    <xf numFmtId="0" fontId="6" fillId="0" borderId="145" xfId="0" applyFont="1" applyBorder="1" applyAlignment="1">
      <alignment horizontal="center" vertical="center"/>
    </xf>
    <xf numFmtId="0" fontId="6" fillId="0" borderId="145" xfId="0" applyFont="1" applyBorder="1" applyAlignment="1">
      <alignment vertical="center"/>
    </xf>
    <xf numFmtId="0" fontId="6" fillId="0" borderId="148" xfId="0" applyFont="1" applyBorder="1" applyAlignment="1">
      <alignment vertical="center"/>
    </xf>
    <xf numFmtId="0" fontId="6" fillId="0" borderId="149" xfId="0" applyFont="1" applyBorder="1" applyAlignment="1">
      <alignment vertical="center"/>
    </xf>
    <xf numFmtId="0" fontId="6" fillId="0" borderId="150" xfId="0" applyFont="1" applyBorder="1" applyAlignment="1">
      <alignment vertical="center"/>
    </xf>
    <xf numFmtId="176" fontId="6" fillId="0" borderId="155" xfId="0" applyNumberFormat="1" applyFont="1" applyBorder="1" applyAlignment="1">
      <alignment horizontal="center" vertical="center"/>
    </xf>
    <xf numFmtId="0" fontId="7" fillId="0" borderId="0" xfId="0" applyFont="1" applyAlignment="1">
      <alignment horizontal="center" vertical="center" shrinkToFit="1"/>
    </xf>
    <xf numFmtId="0" fontId="0" fillId="0" borderId="0" xfId="0" applyAlignment="1">
      <alignment horizontal="center" vertical="center" shrinkToFit="1"/>
    </xf>
    <xf numFmtId="0" fontId="6" fillId="0" borderId="14" xfId="0" applyFont="1" applyBorder="1" applyAlignment="1">
      <alignment vertical="center" wrapText="1" shrinkToFit="1"/>
    </xf>
    <xf numFmtId="0" fontId="3" fillId="0" borderId="0" xfId="0" applyFont="1" applyFill="1" applyAlignment="1">
      <alignment horizontal="center" vertical="center" shrinkToFit="1"/>
    </xf>
    <xf numFmtId="0" fontId="6" fillId="0" borderId="34" xfId="0" applyFont="1" applyFill="1" applyBorder="1" applyAlignment="1">
      <alignment horizontal="center" vertical="center" shrinkToFit="1"/>
    </xf>
    <xf numFmtId="0" fontId="6" fillId="0" borderId="34"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158"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8" fillId="0" borderId="0" xfId="0" applyFont="1" applyAlignment="1"/>
    <xf numFmtId="0" fontId="0" fillId="0" borderId="0" xfId="0" applyAlignment="1"/>
    <xf numFmtId="0" fontId="11" fillId="0" borderId="149" xfId="0" applyFont="1" applyBorder="1" applyAlignment="1">
      <alignment horizontal="center" vertical="center" shrinkToFit="1"/>
    </xf>
    <xf numFmtId="0" fontId="15" fillId="0" borderId="0"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11" fillId="0" borderId="143" xfId="0" applyFont="1" applyBorder="1" applyAlignment="1">
      <alignment horizontal="center" vertical="center" shrinkToFit="1"/>
    </xf>
    <xf numFmtId="0" fontId="15" fillId="0" borderId="144" xfId="0" applyFont="1" applyBorder="1" applyAlignment="1">
      <alignment horizontal="center" vertical="center" shrinkToFit="1"/>
    </xf>
    <xf numFmtId="0" fontId="6" fillId="0" borderId="2" xfId="0" applyFont="1" applyBorder="1" applyAlignment="1">
      <alignment horizontal="center" vertical="center"/>
    </xf>
    <xf numFmtId="0" fontId="0" fillId="0" borderId="2" xfId="0" applyBorder="1" applyAlignment="1">
      <alignment vertical="center"/>
    </xf>
    <xf numFmtId="0" fontId="6" fillId="0" borderId="2" xfId="0" applyFont="1" applyBorder="1" applyAlignment="1">
      <alignment horizontal="center" vertical="center" shrinkToFit="1"/>
    </xf>
    <xf numFmtId="0" fontId="0" fillId="0" borderId="2" xfId="0" applyBorder="1" applyAlignment="1">
      <alignment horizontal="center" vertical="center"/>
    </xf>
    <xf numFmtId="0" fontId="6" fillId="0" borderId="0" xfId="0" applyFont="1" applyBorder="1" applyAlignment="1">
      <alignment horizontal="center" vertical="center"/>
    </xf>
    <xf numFmtId="0" fontId="11" fillId="0" borderId="160" xfId="0" applyFont="1" applyBorder="1" applyAlignment="1">
      <alignment horizontal="center" vertical="center"/>
    </xf>
    <xf numFmtId="0" fontId="11" fillId="0" borderId="144" xfId="0" applyFont="1" applyBorder="1" applyAlignment="1">
      <alignment horizontal="center" vertical="center"/>
    </xf>
    <xf numFmtId="0" fontId="6" fillId="2" borderId="26" xfId="0" applyFont="1" applyFill="1" applyBorder="1" applyAlignment="1" applyProtection="1">
      <alignment horizontal="center" vertical="center" shrinkToFit="1"/>
      <protection locked="0"/>
    </xf>
    <xf numFmtId="0" fontId="0" fillId="0" borderId="28" xfId="0" applyBorder="1" applyAlignment="1" applyProtection="1">
      <alignment vertical="center"/>
      <protection locked="0"/>
    </xf>
    <xf numFmtId="0" fontId="3" fillId="0" borderId="26" xfId="0" applyFont="1" applyBorder="1" applyAlignment="1">
      <alignment horizontal="center" vertical="center" shrinkToFit="1"/>
    </xf>
    <xf numFmtId="0" fontId="0" fillId="0" borderId="28" xfId="0" applyBorder="1" applyAlignment="1">
      <alignment horizontal="center" vertical="center"/>
    </xf>
    <xf numFmtId="0" fontId="6" fillId="0" borderId="164" xfId="0" applyFont="1" applyBorder="1" applyAlignment="1">
      <alignment horizontal="center" vertical="center" shrinkToFit="1"/>
    </xf>
    <xf numFmtId="0" fontId="29" fillId="0" borderId="134" xfId="0" applyFont="1" applyBorder="1" applyAlignment="1">
      <alignment horizontal="center" vertical="center" shrinkToFit="1"/>
    </xf>
    <xf numFmtId="0" fontId="9" fillId="0" borderId="0" xfId="0" applyFont="1" applyBorder="1" applyAlignment="1">
      <alignment horizontal="center" vertical="center" shrinkToFit="1"/>
    </xf>
    <xf numFmtId="0" fontId="3" fillId="0" borderId="9" xfId="0" applyFont="1" applyBorder="1" applyAlignment="1">
      <alignment horizontal="center" vertical="center" shrinkToFit="1"/>
    </xf>
    <xf numFmtId="0" fontId="11" fillId="0" borderId="142" xfId="0" applyFont="1" applyBorder="1" applyAlignment="1">
      <alignment horizontal="center" vertical="center" shrinkToFit="1"/>
    </xf>
    <xf numFmtId="0" fontId="11" fillId="0" borderId="155" xfId="0" applyFont="1" applyBorder="1" applyAlignment="1">
      <alignment horizontal="center" vertical="center" shrinkToFit="1"/>
    </xf>
    <xf numFmtId="0" fontId="11" fillId="0" borderId="155" xfId="0" applyFont="1" applyBorder="1" applyAlignment="1">
      <alignment horizontal="center" vertical="center"/>
    </xf>
    <xf numFmtId="0" fontId="11" fillId="0" borderId="155" xfId="0" applyFont="1" applyBorder="1" applyAlignment="1">
      <alignment vertical="center"/>
    </xf>
    <xf numFmtId="0" fontId="15" fillId="0" borderId="148" xfId="0" applyFont="1" applyBorder="1" applyAlignment="1">
      <alignment horizontal="center" vertical="center" shrinkToFit="1"/>
    </xf>
    <xf numFmtId="0" fontId="15" fillId="0" borderId="151" xfId="0" applyFont="1" applyBorder="1" applyAlignment="1">
      <alignment horizontal="center" vertical="center" shrinkToFit="1"/>
    </xf>
    <xf numFmtId="0" fontId="15" fillId="0" borderId="152" xfId="0" applyFont="1" applyBorder="1" applyAlignment="1">
      <alignment horizontal="center" vertical="center" shrinkToFit="1"/>
    </xf>
    <xf numFmtId="0" fontId="15" fillId="2" borderId="26" xfId="0" applyFont="1" applyFill="1" applyBorder="1" applyAlignment="1" applyProtection="1">
      <alignment horizontal="center" vertical="center" shrinkToFit="1"/>
      <protection locked="0"/>
    </xf>
    <xf numFmtId="0" fontId="6" fillId="0" borderId="26" xfId="0" applyFont="1" applyBorder="1" applyAlignment="1">
      <alignment horizontal="center" vertical="center" shrinkToFit="1"/>
    </xf>
    <xf numFmtId="0" fontId="0" fillId="0" borderId="28" xfId="0" applyBorder="1" applyAlignment="1">
      <alignment vertical="center"/>
    </xf>
    <xf numFmtId="0" fontId="6" fillId="0" borderId="174" xfId="0" applyFont="1" applyBorder="1" applyAlignment="1">
      <alignment horizontal="center" vertical="center" shrinkToFit="1"/>
    </xf>
    <xf numFmtId="0" fontId="0" fillId="0" borderId="173" xfId="0" applyBorder="1" applyAlignment="1">
      <alignment horizontal="center" vertical="center"/>
    </xf>
    <xf numFmtId="0" fontId="6" fillId="0" borderId="174" xfId="0" applyFont="1" applyBorder="1" applyAlignment="1">
      <alignment horizontal="center" vertical="center"/>
    </xf>
    <xf numFmtId="0" fontId="0" fillId="0" borderId="0" xfId="0" applyBorder="1" applyAlignment="1">
      <alignment horizontal="center" vertical="center" shrinkToFit="1"/>
    </xf>
    <xf numFmtId="0" fontId="6" fillId="0" borderId="0" xfId="0" applyFont="1" applyBorder="1" applyAlignment="1">
      <alignment vertical="center" shrinkToFit="1"/>
    </xf>
    <xf numFmtId="0" fontId="0" fillId="0" borderId="0" xfId="0" applyBorder="1" applyAlignment="1">
      <alignment vertical="center" shrinkToFit="1"/>
    </xf>
    <xf numFmtId="176" fontId="11" fillId="0" borderId="163" xfId="0" applyNumberFormat="1" applyFont="1" applyBorder="1" applyAlignment="1">
      <alignment horizontal="center" vertical="center"/>
    </xf>
    <xf numFmtId="176" fontId="11" fillId="0" borderId="147" xfId="0" applyNumberFormat="1" applyFont="1" applyBorder="1" applyAlignment="1">
      <alignment horizontal="center" vertical="center"/>
    </xf>
    <xf numFmtId="0" fontId="3" fillId="0" borderId="0" xfId="0" applyFont="1" applyBorder="1" applyAlignment="1">
      <alignment vertical="center" shrinkToFit="1"/>
    </xf>
    <xf numFmtId="0" fontId="11" fillId="0" borderId="146" xfId="0" applyFont="1" applyBorder="1" applyAlignment="1">
      <alignment horizontal="center" vertical="center" shrinkToFit="1"/>
    </xf>
    <xf numFmtId="0" fontId="11" fillId="0" borderId="162" xfId="0" applyFont="1" applyBorder="1" applyAlignment="1">
      <alignment horizontal="center" vertical="center" shrinkToFit="1"/>
    </xf>
    <xf numFmtId="0" fontId="0" fillId="0" borderId="6" xfId="0" applyBorder="1" applyAlignment="1">
      <alignment horizontal="center" vertical="center"/>
    </xf>
    <xf numFmtId="0" fontId="0" fillId="0" borderId="0" xfId="0" applyBorder="1" applyAlignment="1">
      <alignment horizontal="center" vertical="center"/>
    </xf>
    <xf numFmtId="0" fontId="16" fillId="0" borderId="137" xfId="0" applyFont="1" applyBorder="1" applyAlignment="1">
      <alignment horizontal="center" vertical="center" shrinkToFit="1"/>
    </xf>
    <xf numFmtId="0" fontId="0" fillId="0" borderId="136" xfId="0" applyBorder="1" applyAlignment="1">
      <alignment vertical="center"/>
    </xf>
    <xf numFmtId="0" fontId="0" fillId="0" borderId="186" xfId="0" applyBorder="1" applyAlignment="1">
      <alignment vertical="center"/>
    </xf>
    <xf numFmtId="0" fontId="16" fillId="0" borderId="137" xfId="0" applyFont="1" applyFill="1" applyBorder="1" applyAlignment="1">
      <alignment horizontal="center" vertical="center" shrinkToFit="1"/>
    </xf>
    <xf numFmtId="0" fontId="29" fillId="0" borderId="6" xfId="0" applyFont="1" applyBorder="1" applyAlignment="1">
      <alignment horizontal="center" vertical="center" shrinkToFit="1"/>
    </xf>
    <xf numFmtId="0" fontId="2" fillId="0" borderId="8" xfId="0" applyFont="1" applyBorder="1" applyAlignment="1">
      <alignment horizontal="center" vertical="center" shrinkToFit="1"/>
    </xf>
    <xf numFmtId="0" fontId="29" fillId="0" borderId="2" xfId="0" applyFont="1" applyBorder="1" applyAlignment="1">
      <alignment vertical="center"/>
    </xf>
    <xf numFmtId="0" fontId="29" fillId="0" borderId="2" xfId="0" applyFont="1" applyBorder="1" applyAlignment="1">
      <alignment horizontal="center" vertical="center"/>
    </xf>
    <xf numFmtId="0" fontId="29" fillId="0" borderId="0" xfId="0" applyFont="1" applyBorder="1" applyAlignment="1">
      <alignment vertical="center" shrinkToFit="1"/>
    </xf>
    <xf numFmtId="0" fontId="0" fillId="0" borderId="8" xfId="0" applyBorder="1" applyAlignment="1">
      <alignment horizontal="center" vertical="center"/>
    </xf>
    <xf numFmtId="0" fontId="3" fillId="0" borderId="2" xfId="0" applyFont="1" applyBorder="1" applyAlignment="1">
      <alignment horizontal="center" vertical="center" shrinkToFit="1"/>
    </xf>
    <xf numFmtId="0" fontId="29" fillId="0" borderId="2" xfId="0" applyFont="1" applyBorder="1" applyAlignment="1">
      <alignment horizontal="center" vertical="center" shrinkToFit="1"/>
    </xf>
    <xf numFmtId="0" fontId="15" fillId="0" borderId="0" xfId="0" applyFont="1" applyAlignment="1">
      <alignment horizontal="center" vertical="center" shrinkToFit="1"/>
    </xf>
    <xf numFmtId="0" fontId="15" fillId="0" borderId="9" xfId="0" applyFont="1" applyBorder="1" applyAlignment="1">
      <alignment horizontal="center" vertical="center" shrinkToFit="1"/>
    </xf>
    <xf numFmtId="0" fontId="15" fillId="0" borderId="41" xfId="0" applyFont="1" applyBorder="1" applyAlignment="1">
      <alignment vertical="center" wrapText="1" shrinkToFit="1"/>
    </xf>
    <xf numFmtId="0" fontId="15" fillId="0" borderId="90" xfId="0" applyFont="1" applyBorder="1" applyAlignment="1">
      <alignment vertical="center" wrapText="1" shrinkToFit="1"/>
    </xf>
    <xf numFmtId="0" fontId="11" fillId="0" borderId="19" xfId="0" applyFont="1" applyBorder="1" applyAlignment="1">
      <alignment horizontal="center" vertical="center" shrinkToFit="1"/>
    </xf>
    <xf numFmtId="0" fontId="15" fillId="0" borderId="19" xfId="0" applyFont="1" applyBorder="1" applyAlignment="1">
      <alignment horizontal="center" vertical="center" shrinkToFit="1"/>
    </xf>
    <xf numFmtId="0" fontId="11" fillId="0" borderId="177" xfId="0" applyFont="1" applyBorder="1" applyAlignment="1">
      <alignment horizontal="center" vertical="center" shrinkToFit="1"/>
    </xf>
    <xf numFmtId="0" fontId="15" fillId="0" borderId="178" xfId="0" applyFont="1" applyBorder="1" applyAlignment="1">
      <alignment horizontal="center" vertical="center" shrinkToFit="1"/>
    </xf>
    <xf numFmtId="0" fontId="15" fillId="0" borderId="180" xfId="0" applyFont="1" applyBorder="1" applyAlignment="1">
      <alignment horizontal="center" vertical="center" shrinkToFit="1"/>
    </xf>
    <xf numFmtId="176" fontId="11" fillId="0" borderId="181" xfId="0" applyNumberFormat="1" applyFont="1" applyBorder="1" applyAlignment="1">
      <alignment horizontal="center" vertical="center"/>
    </xf>
    <xf numFmtId="0" fontId="15" fillId="0" borderId="182" xfId="0" applyFont="1" applyBorder="1" applyAlignment="1">
      <alignment horizontal="center" vertical="center"/>
    </xf>
    <xf numFmtId="0" fontId="11" fillId="0" borderId="176" xfId="0" applyFont="1" applyBorder="1" applyAlignment="1">
      <alignment horizontal="center" vertical="center" shrinkToFit="1"/>
    </xf>
    <xf numFmtId="0" fontId="15" fillId="0" borderId="177" xfId="0" applyFont="1" applyBorder="1" applyAlignment="1">
      <alignment vertical="center"/>
    </xf>
    <xf numFmtId="0" fontId="15" fillId="0" borderId="46" xfId="0" applyFont="1" applyBorder="1" applyAlignment="1">
      <alignment horizontal="center" vertical="center" shrinkToFit="1"/>
    </xf>
    <xf numFmtId="0" fontId="15" fillId="0" borderId="25" xfId="0" applyFont="1" applyBorder="1" applyAlignment="1">
      <alignment horizontal="center" vertical="center"/>
    </xf>
    <xf numFmtId="0" fontId="11" fillId="0" borderId="179" xfId="0" applyFont="1" applyBorder="1" applyAlignment="1">
      <alignment horizontal="center" vertical="center" shrinkToFit="1"/>
    </xf>
    <xf numFmtId="0" fontId="0" fillId="0" borderId="2" xfId="0" applyBorder="1" applyAlignment="1">
      <alignment horizontal="center" vertical="center" shrinkToFit="1"/>
    </xf>
    <xf numFmtId="0" fontId="3" fillId="0" borderId="2" xfId="0" applyFont="1" applyBorder="1" applyAlignment="1">
      <alignment horizontal="center" vertical="center"/>
    </xf>
    <xf numFmtId="0" fontId="0" fillId="0" borderId="182" xfId="0" applyBorder="1" applyAlignment="1">
      <alignment horizontal="center" vertical="center"/>
    </xf>
    <xf numFmtId="0" fontId="15" fillId="0" borderId="130" xfId="0" applyFont="1" applyBorder="1" applyAlignment="1">
      <alignment vertical="center" wrapText="1" shrinkToFit="1"/>
    </xf>
    <xf numFmtId="0" fontId="15" fillId="0" borderId="41" xfId="0" applyFont="1" applyBorder="1" applyAlignment="1">
      <alignment horizontal="center" vertical="center" shrinkToFit="1"/>
    </xf>
    <xf numFmtId="0" fontId="15" fillId="0" borderId="90" xfId="0" applyFont="1" applyBorder="1" applyAlignment="1">
      <alignment horizontal="center" vertical="center" shrinkToFit="1"/>
    </xf>
    <xf numFmtId="0" fontId="9" fillId="0" borderId="22" xfId="0" applyFont="1" applyBorder="1" applyAlignment="1">
      <alignment horizontal="center" vertical="center"/>
    </xf>
    <xf numFmtId="0" fontId="0" fillId="0" borderId="20" xfId="0" applyBorder="1" applyAlignment="1">
      <alignment horizontal="center" vertical="center"/>
    </xf>
    <xf numFmtId="0" fontId="9" fillId="0" borderId="71" xfId="0" applyFont="1" applyBorder="1" applyAlignment="1">
      <alignment horizontal="center" vertical="center"/>
    </xf>
    <xf numFmtId="0" fontId="0" fillId="0" borderId="72" xfId="0" applyBorder="1" applyAlignment="1">
      <alignment horizontal="center" vertical="center"/>
    </xf>
    <xf numFmtId="0" fontId="9" fillId="0" borderId="69" xfId="0" applyFont="1" applyBorder="1" applyAlignment="1">
      <alignment horizontal="center" vertical="center"/>
    </xf>
    <xf numFmtId="0" fontId="3" fillId="0" borderId="69" xfId="0" applyFont="1" applyBorder="1" applyAlignment="1">
      <alignment horizontal="center" vertical="center"/>
    </xf>
    <xf numFmtId="0" fontId="0" fillId="0" borderId="178" xfId="0" applyBorder="1" applyAlignment="1">
      <alignment horizontal="center" vertical="center" shrinkToFit="1"/>
    </xf>
    <xf numFmtId="0" fontId="0" fillId="0" borderId="19" xfId="0" applyBorder="1" applyAlignment="1">
      <alignment horizontal="center" vertical="center" shrinkToFit="1"/>
    </xf>
    <xf numFmtId="0" fontId="0" fillId="0" borderId="180" xfId="0" applyBorder="1" applyAlignment="1">
      <alignment horizontal="center" vertical="center" shrinkToFit="1"/>
    </xf>
    <xf numFmtId="0" fontId="0" fillId="0" borderId="177" xfId="0" applyBorder="1" applyAlignment="1">
      <alignment horizontal="center" vertical="center" shrinkToFit="1"/>
    </xf>
    <xf numFmtId="0" fontId="0" fillId="0" borderId="0" xfId="0" applyAlignment="1">
      <alignment vertical="center"/>
    </xf>
    <xf numFmtId="0" fontId="0" fillId="0" borderId="37" xfId="0" applyBorder="1" applyAlignment="1">
      <alignment horizontal="center" vertical="center"/>
    </xf>
    <xf numFmtId="0" fontId="0" fillId="0" borderId="38" xfId="0" applyBorder="1" applyAlignment="1">
      <alignment horizontal="center" vertical="center"/>
    </xf>
    <xf numFmtId="0" fontId="6" fillId="0" borderId="87" xfId="0" applyFont="1" applyFill="1" applyBorder="1" applyAlignment="1">
      <alignment horizontal="center" vertical="center" shrinkToFit="1"/>
    </xf>
    <xf numFmtId="0" fontId="0" fillId="0" borderId="87" xfId="0" applyBorder="1" applyAlignment="1">
      <alignment horizontal="center" vertical="center" shrinkToFit="1"/>
    </xf>
    <xf numFmtId="0" fontId="0" fillId="0" borderId="88" xfId="0" applyBorder="1" applyAlignment="1">
      <alignment horizontal="center" vertical="center" shrinkToFit="1"/>
    </xf>
    <xf numFmtId="0" fontId="3" fillId="0" borderId="131" xfId="0" applyFont="1" applyBorder="1" applyAlignment="1">
      <alignment horizontal="center" vertical="center" shrinkToFit="1"/>
    </xf>
    <xf numFmtId="0" fontId="0" fillId="0" borderId="125" xfId="0" applyBorder="1" applyAlignment="1">
      <alignment horizontal="center" vertical="center" shrinkToFit="1"/>
    </xf>
    <xf numFmtId="0" fontId="9" fillId="0" borderId="191" xfId="0" applyFont="1" applyBorder="1" applyAlignment="1">
      <alignment horizontal="center" vertical="center" wrapText="1"/>
    </xf>
    <xf numFmtId="0" fontId="3" fillId="0" borderId="189" xfId="0" applyFont="1" applyBorder="1" applyAlignment="1">
      <alignment horizontal="center" vertical="center" wrapText="1"/>
    </xf>
    <xf numFmtId="0" fontId="15" fillId="0" borderId="130" xfId="0" applyFont="1" applyBorder="1" applyAlignment="1">
      <alignment horizontal="center" vertical="center" shrinkToFit="1"/>
    </xf>
    <xf numFmtId="0" fontId="15" fillId="0" borderId="0" xfId="0" applyFont="1" applyBorder="1" applyAlignment="1">
      <alignment horizontal="center" vertical="center" wrapText="1" shrinkToFit="1"/>
    </xf>
    <xf numFmtId="0" fontId="9" fillId="0" borderId="130" xfId="0" applyFont="1" applyBorder="1" applyAlignment="1">
      <alignment horizontal="center" vertical="center" shrinkToFit="1"/>
    </xf>
    <xf numFmtId="0" fontId="3" fillId="0" borderId="127" xfId="0" applyFont="1" applyBorder="1" applyAlignment="1">
      <alignment horizontal="center" vertical="center" shrinkToFit="1"/>
    </xf>
    <xf numFmtId="0" fontId="0" fillId="0" borderId="63" xfId="0" applyBorder="1" applyAlignment="1">
      <alignment vertical="center"/>
    </xf>
    <xf numFmtId="0" fontId="15" fillId="0" borderId="41" xfId="0" applyFont="1" applyFill="1" applyBorder="1" applyAlignment="1">
      <alignment vertical="center" wrapText="1" shrinkToFit="1"/>
    </xf>
    <xf numFmtId="0" fontId="15" fillId="0" borderId="90" xfId="0" applyFont="1" applyFill="1" applyBorder="1" applyAlignment="1">
      <alignment vertical="center" wrapText="1" shrinkToFit="1"/>
    </xf>
    <xf numFmtId="0" fontId="15" fillId="0" borderId="130" xfId="0" applyFont="1" applyBorder="1" applyAlignment="1">
      <alignment horizontal="center" vertical="center" wrapText="1" shrinkToFit="1"/>
    </xf>
    <xf numFmtId="0" fontId="15" fillId="0" borderId="2" xfId="0" applyFont="1" applyBorder="1" applyAlignment="1">
      <alignment horizontal="center" vertical="center" shrinkToFit="1"/>
    </xf>
    <xf numFmtId="0" fontId="0" fillId="0" borderId="132" xfId="0" applyBorder="1" applyAlignment="1">
      <alignment vertical="center"/>
    </xf>
    <xf numFmtId="0" fontId="6" fillId="0" borderId="36" xfId="0" applyFont="1" applyBorder="1" applyAlignment="1">
      <alignment horizontal="center" vertical="center"/>
    </xf>
    <xf numFmtId="0" fontId="6" fillId="0" borderId="86" xfId="0" applyFont="1" applyFill="1" applyBorder="1" applyAlignment="1">
      <alignment horizontal="center" vertical="center" shrinkToFit="1"/>
    </xf>
    <xf numFmtId="0" fontId="6" fillId="0" borderId="63" xfId="0" applyFont="1" applyBorder="1" applyAlignment="1">
      <alignment horizontal="center" vertical="center" shrinkToFit="1"/>
    </xf>
    <xf numFmtId="0" fontId="0" fillId="0" borderId="62" xfId="0" applyBorder="1" applyAlignment="1">
      <alignment horizontal="center" vertical="center" shrinkToFit="1"/>
    </xf>
    <xf numFmtId="0" fontId="0" fillId="0" borderId="125" xfId="0" applyBorder="1" applyAlignment="1">
      <alignment horizontal="center" vertical="center"/>
    </xf>
    <xf numFmtId="0" fontId="0" fillId="0" borderId="126" xfId="0" applyBorder="1" applyAlignment="1">
      <alignment horizontal="center" vertical="center"/>
    </xf>
    <xf numFmtId="0" fontId="0" fillId="0" borderId="132" xfId="0" applyBorder="1" applyAlignment="1">
      <alignment horizontal="center" vertical="center"/>
    </xf>
    <xf numFmtId="0" fontId="15" fillId="0" borderId="3" xfId="0" applyFont="1" applyBorder="1" applyAlignment="1">
      <alignment horizontal="center" vertical="center" shrinkToFit="1"/>
    </xf>
    <xf numFmtId="0" fontId="0" fillId="0" borderId="4" xfId="0" applyBorder="1" applyAlignment="1">
      <alignment horizontal="center" vertical="center"/>
    </xf>
    <xf numFmtId="0" fontId="9" fillId="0" borderId="3" xfId="0" applyFont="1" applyBorder="1" applyAlignment="1">
      <alignment horizontal="center" vertical="center" shrinkToFit="1"/>
    </xf>
    <xf numFmtId="0" fontId="9" fillId="0" borderId="61" xfId="0" applyFont="1" applyBorder="1" applyAlignment="1">
      <alignment horizontal="center" vertical="center" shrinkToFit="1"/>
    </xf>
    <xf numFmtId="0" fontId="0" fillId="0" borderId="80" xfId="0" applyBorder="1" applyAlignment="1">
      <alignment horizontal="center" vertical="center" shrinkToFit="1"/>
    </xf>
    <xf numFmtId="0" fontId="32" fillId="0" borderId="0" xfId="0" applyFont="1" applyAlignment="1">
      <alignment horizontal="center" vertical="center"/>
    </xf>
    <xf numFmtId="0" fontId="0" fillId="0" borderId="0" xfId="0" applyAlignment="1">
      <alignment vertical="center" shrinkToFit="1"/>
    </xf>
    <xf numFmtId="0" fontId="3" fillId="0" borderId="43" xfId="0" applyFont="1" applyBorder="1" applyAlignment="1">
      <alignment horizontal="center" vertical="center" shrinkToFit="1"/>
    </xf>
    <xf numFmtId="0" fontId="0" fillId="0" borderId="140" xfId="0" applyBorder="1" applyAlignment="1">
      <alignment horizontal="center" vertical="center" shrinkToFit="1"/>
    </xf>
    <xf numFmtId="0" fontId="6" fillId="0" borderId="113" xfId="0" applyFont="1" applyBorder="1" applyAlignment="1">
      <alignment horizontal="center" vertical="center" shrinkToFit="1"/>
    </xf>
    <xf numFmtId="0" fontId="3" fillId="0" borderId="130" xfId="0" applyFont="1" applyBorder="1" applyAlignment="1">
      <alignment horizontal="center" vertical="center" shrinkToFit="1"/>
    </xf>
    <xf numFmtId="0" fontId="3" fillId="0" borderId="127" xfId="0" applyFont="1" applyBorder="1" applyAlignment="1">
      <alignment horizontal="center" vertical="center"/>
    </xf>
    <xf numFmtId="0" fontId="29" fillId="0" borderId="63" xfId="0" applyFont="1" applyBorder="1" applyAlignment="1">
      <alignment horizontal="center" vertical="center"/>
    </xf>
    <xf numFmtId="0" fontId="37" fillId="0" borderId="0" xfId="0" quotePrefix="1" applyFont="1" applyBorder="1" applyAlignment="1">
      <alignment vertical="center" shrinkToFit="1"/>
    </xf>
    <xf numFmtId="0" fontId="0" fillId="0" borderId="9" xfId="0" applyBorder="1" applyAlignment="1">
      <alignment vertical="center"/>
    </xf>
    <xf numFmtId="0" fontId="3" fillId="0" borderId="113" xfId="0" applyFont="1" applyBorder="1" applyAlignment="1">
      <alignment horizontal="center" vertical="center"/>
    </xf>
    <xf numFmtId="176" fontId="15" fillId="0" borderId="106" xfId="0" applyNumberFormat="1" applyFont="1" applyBorder="1" applyAlignment="1">
      <alignment horizontal="center" vertical="center"/>
    </xf>
    <xf numFmtId="0" fontId="0" fillId="0" borderId="27" xfId="0" applyBorder="1" applyAlignment="1">
      <alignment horizontal="center" vertical="center"/>
    </xf>
    <xf numFmtId="0" fontId="0" fillId="0" borderId="107" xfId="0" applyBorder="1" applyAlignment="1">
      <alignment horizontal="center" vertical="center"/>
    </xf>
    <xf numFmtId="0" fontId="3" fillId="0" borderId="130" xfId="0" applyFont="1" applyFill="1" applyBorder="1" applyAlignment="1">
      <alignment vertical="center" wrapText="1" shrinkToFit="1"/>
    </xf>
    <xf numFmtId="0" fontId="15" fillId="0" borderId="130" xfId="0" applyFont="1" applyFill="1" applyBorder="1" applyAlignment="1">
      <alignment vertical="center" wrapText="1" shrinkToFit="1"/>
    </xf>
    <xf numFmtId="0" fontId="0" fillId="0" borderId="28" xfId="0" applyBorder="1" applyAlignment="1" applyProtection="1">
      <alignment horizontal="center" vertical="center"/>
      <protection locked="0"/>
    </xf>
    <xf numFmtId="0" fontId="9" fillId="0" borderId="2" xfId="0" applyFont="1" applyBorder="1" applyAlignment="1">
      <alignment vertical="center" wrapText="1" shrinkToFit="1"/>
    </xf>
    <xf numFmtId="0" fontId="3" fillId="0" borderId="2" xfId="0" applyFont="1" applyBorder="1" applyAlignment="1">
      <alignment vertical="center" wrapText="1" shrinkToFit="1"/>
    </xf>
    <xf numFmtId="0" fontId="6" fillId="0" borderId="8" xfId="0" applyFont="1" applyBorder="1" applyAlignment="1">
      <alignment horizontal="center" vertical="center"/>
    </xf>
    <xf numFmtId="0" fontId="3" fillId="0" borderId="195" xfId="0" applyFont="1" applyBorder="1" applyAlignment="1">
      <alignment horizontal="center" vertical="center"/>
    </xf>
    <xf numFmtId="0" fontId="0" fillId="0" borderId="188" xfId="0" applyBorder="1" applyAlignment="1">
      <alignment vertical="center"/>
    </xf>
    <xf numFmtId="176" fontId="15" fillId="0" borderId="120" xfId="0" applyNumberFormat="1" applyFont="1" applyBorder="1" applyAlignment="1">
      <alignment horizontal="center" vertical="center"/>
    </xf>
    <xf numFmtId="0" fontId="0" fillId="0" borderId="121" xfId="0" applyBorder="1" applyAlignment="1">
      <alignment horizontal="center" vertical="center"/>
    </xf>
    <xf numFmtId="0" fontId="0" fillId="0" borderId="122" xfId="0" applyBorder="1" applyAlignment="1">
      <alignment horizontal="center" vertical="center"/>
    </xf>
    <xf numFmtId="0" fontId="3" fillId="0" borderId="1" xfId="0" applyFont="1" applyBorder="1" applyAlignment="1">
      <alignment horizontal="center" vertical="center"/>
    </xf>
    <xf numFmtId="0" fontId="0" fillId="0" borderId="139" xfId="0" applyBorder="1" applyAlignment="1">
      <alignment horizontal="center" vertical="center"/>
    </xf>
    <xf numFmtId="0" fontId="6" fillId="0" borderId="0" xfId="0" quotePrefix="1" applyFont="1" applyBorder="1" applyAlignment="1">
      <alignment vertical="center" shrinkToFit="1"/>
    </xf>
    <xf numFmtId="0" fontId="6" fillId="0" borderId="9" xfId="0" quotePrefix="1" applyFont="1" applyBorder="1" applyAlignment="1">
      <alignment vertical="center" shrinkToFit="1"/>
    </xf>
    <xf numFmtId="0" fontId="3" fillId="0" borderId="130" xfId="0" applyFont="1" applyBorder="1" applyAlignment="1">
      <alignment horizontal="center" vertical="center"/>
    </xf>
    <xf numFmtId="0" fontId="0" fillId="0" borderId="0" xfId="0" applyAlignment="1">
      <alignment vertical="center" wrapText="1"/>
    </xf>
    <xf numFmtId="0" fontId="15" fillId="0" borderId="42" xfId="0" applyFont="1" applyBorder="1" applyAlignment="1">
      <alignment horizontal="center" vertical="center"/>
    </xf>
    <xf numFmtId="0" fontId="9" fillId="0" borderId="1" xfId="0" applyFont="1" applyFill="1" applyBorder="1" applyAlignment="1">
      <alignment vertical="center" wrapText="1" shrinkToFit="1"/>
    </xf>
    <xf numFmtId="0" fontId="3" fillId="0" borderId="139" xfId="0" applyFont="1" applyBorder="1" applyAlignment="1">
      <alignment vertical="center" wrapText="1" shrinkToFit="1"/>
    </xf>
    <xf numFmtId="0" fontId="6" fillId="0" borderId="130" xfId="0" applyFont="1" applyBorder="1" applyAlignment="1">
      <alignment horizontal="center" vertical="center" shrinkToFit="1"/>
    </xf>
    <xf numFmtId="0" fontId="9" fillId="0" borderId="44" xfId="0" applyFont="1"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8</xdr:col>
      <xdr:colOff>272563</xdr:colOff>
      <xdr:row>3</xdr:row>
      <xdr:rowOff>36635</xdr:rowOff>
    </xdr:from>
    <xdr:to>
      <xdr:col>16</xdr:col>
      <xdr:colOff>413302</xdr:colOff>
      <xdr:row>9</xdr:row>
      <xdr:rowOff>124558</xdr:rowOff>
    </xdr:to>
    <xdr:pic>
      <xdr:nvPicPr>
        <xdr:cNvPr id="10" name="Picture 2">
          <a:extLst>
            <a:ext uri="{FF2B5EF4-FFF2-40B4-BE49-F238E27FC236}">
              <a16:creationId xmlns:a16="http://schemas.microsoft.com/office/drawing/2014/main" id="{00000000-0008-0000-0400-00000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225563" y="674077"/>
          <a:ext cx="5482066" cy="1150327"/>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117231</xdr:colOff>
      <xdr:row>54</xdr:row>
      <xdr:rowOff>80596</xdr:rowOff>
    </xdr:from>
    <xdr:to>
      <xdr:col>10</xdr:col>
      <xdr:colOff>564174</xdr:colOff>
      <xdr:row>54</xdr:row>
      <xdr:rowOff>80596</xdr:rowOff>
    </xdr:to>
    <xdr:cxnSp macro="">
      <xdr:nvCxnSpPr>
        <xdr:cNvPr id="3" name="直線コネクタ 2">
          <a:extLst>
            <a:ext uri="{FF2B5EF4-FFF2-40B4-BE49-F238E27FC236}">
              <a16:creationId xmlns:a16="http://schemas.microsoft.com/office/drawing/2014/main" id="{00000000-0008-0000-0500-000003000000}"/>
            </a:ext>
          </a:extLst>
        </xdr:cNvPr>
        <xdr:cNvCxnSpPr/>
      </xdr:nvCxnSpPr>
      <xdr:spPr>
        <a:xfrm>
          <a:off x="263769" y="9561634"/>
          <a:ext cx="6447693" cy="0"/>
        </a:xfrm>
        <a:prstGeom prst="line">
          <a:avLst/>
        </a:prstGeom>
        <a:ln w="19050" cmpd="sng">
          <a:solidFill>
            <a:schemeClr val="bg2">
              <a:lumMod val="2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59871</xdr:colOff>
      <xdr:row>35</xdr:row>
      <xdr:rowOff>10886</xdr:rowOff>
    </xdr:from>
    <xdr:to>
      <xdr:col>10</xdr:col>
      <xdr:colOff>706526</xdr:colOff>
      <xdr:row>35</xdr:row>
      <xdr:rowOff>26167</xdr:rowOff>
    </xdr:to>
    <xdr:cxnSp macro="">
      <xdr:nvCxnSpPr>
        <xdr:cNvPr id="4" name="直線コネクタ 3">
          <a:extLst>
            <a:ext uri="{FF2B5EF4-FFF2-40B4-BE49-F238E27FC236}">
              <a16:creationId xmlns:a16="http://schemas.microsoft.com/office/drawing/2014/main" id="{00000000-0008-0000-0500-000004000000}"/>
            </a:ext>
          </a:extLst>
        </xdr:cNvPr>
        <xdr:cNvCxnSpPr/>
      </xdr:nvCxnSpPr>
      <xdr:spPr>
        <a:xfrm>
          <a:off x="202746" y="6623957"/>
          <a:ext cx="6858316" cy="15281"/>
        </a:xfrm>
        <a:prstGeom prst="line">
          <a:avLst/>
        </a:prstGeom>
        <a:ln w="19050" cmpd="sng">
          <a:solidFill>
            <a:schemeClr val="bg2">
              <a:lumMod val="2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492125</xdr:colOff>
      <xdr:row>2</xdr:row>
      <xdr:rowOff>157617</xdr:rowOff>
    </xdr:from>
    <xdr:to>
      <xdr:col>15</xdr:col>
      <xdr:colOff>720290</xdr:colOff>
      <xdr:row>16</xdr:row>
      <xdr:rowOff>47400</xdr:rowOff>
    </xdr:to>
    <xdr:pic>
      <xdr:nvPicPr>
        <xdr:cNvPr id="1026" name="Picture 2">
          <a:extLst>
            <a:ext uri="{FF2B5EF4-FFF2-40B4-BE49-F238E27FC236}">
              <a16:creationId xmlns:a16="http://schemas.microsoft.com/office/drawing/2014/main" id="{00000000-0008-0000-0700-000002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61000" y="617992"/>
          <a:ext cx="5085915" cy="2374221"/>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472168</xdr:colOff>
      <xdr:row>8</xdr:row>
      <xdr:rowOff>116794</xdr:rowOff>
    </xdr:from>
    <xdr:to>
      <xdr:col>16</xdr:col>
      <xdr:colOff>642937</xdr:colOff>
      <xdr:row>15</xdr:row>
      <xdr:rowOff>149528</xdr:rowOff>
    </xdr:to>
    <xdr:pic>
      <xdr:nvPicPr>
        <xdr:cNvPr id="2" name="図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02981" y="1632857"/>
          <a:ext cx="6266769" cy="116779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542191</xdr:colOff>
      <xdr:row>21</xdr:row>
      <xdr:rowOff>87924</xdr:rowOff>
    </xdr:from>
    <xdr:to>
      <xdr:col>18</xdr:col>
      <xdr:colOff>119319</xdr:colOff>
      <xdr:row>31</xdr:row>
      <xdr:rowOff>136065</xdr:rowOff>
    </xdr:to>
    <xdr:pic>
      <xdr:nvPicPr>
        <xdr:cNvPr id="35" name="図 34" descr="新荷重形式3.bmp">
          <a:extLst>
            <a:ext uri="{FF2B5EF4-FFF2-40B4-BE49-F238E27FC236}">
              <a16:creationId xmlns:a16="http://schemas.microsoft.com/office/drawing/2014/main" id="{00000000-0008-0000-0A00-000023000000}"/>
            </a:ext>
          </a:extLst>
        </xdr:cNvPr>
        <xdr:cNvPicPr>
          <a:picLocks noChangeAspect="1"/>
        </xdr:cNvPicPr>
      </xdr:nvPicPr>
      <xdr:blipFill>
        <a:blip xmlns:r="http://schemas.openxmlformats.org/officeDocument/2006/relationships" r:embed="rId1" cstate="print"/>
        <a:stretch>
          <a:fillRect/>
        </a:stretch>
      </xdr:blipFill>
      <xdr:spPr>
        <a:xfrm>
          <a:off x="5531826" y="3949212"/>
          <a:ext cx="6742858" cy="173333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8</xdr:col>
      <xdr:colOff>615273</xdr:colOff>
      <xdr:row>23</xdr:row>
      <xdr:rowOff>94831</xdr:rowOff>
    </xdr:to>
    <xdr:pic>
      <xdr:nvPicPr>
        <xdr:cNvPr id="4" name="図 3" descr="しんどうa.bmp">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1" cstate="print"/>
        <a:stretch>
          <a:fillRect/>
        </a:stretch>
      </xdr:blipFill>
      <xdr:spPr>
        <a:xfrm>
          <a:off x="184150" y="2076450"/>
          <a:ext cx="5419048" cy="3352381"/>
        </a:xfrm>
        <a:prstGeom prst="rect">
          <a:avLst/>
        </a:prstGeom>
        <a:ln>
          <a:solidFill>
            <a:schemeClr val="accent1"/>
          </a:solidFill>
        </a:ln>
      </xdr:spPr>
    </xdr:pic>
    <xdr:clientData/>
  </xdr:twoCellAnchor>
  <xdr:twoCellAnchor editAs="oneCell">
    <xdr:from>
      <xdr:col>9</xdr:col>
      <xdr:colOff>339725</xdr:colOff>
      <xdr:row>3</xdr:row>
      <xdr:rowOff>161925</xdr:rowOff>
    </xdr:from>
    <xdr:to>
      <xdr:col>17</xdr:col>
      <xdr:colOff>272373</xdr:colOff>
      <xdr:row>23</xdr:row>
      <xdr:rowOff>132925</xdr:rowOff>
    </xdr:to>
    <xdr:pic>
      <xdr:nvPicPr>
        <xdr:cNvPr id="5" name="図 4" descr="しんどうb.bmp">
          <a:extLst>
            <a:ext uri="{FF2B5EF4-FFF2-40B4-BE49-F238E27FC236}">
              <a16:creationId xmlns:a16="http://schemas.microsoft.com/office/drawing/2014/main" id="{00000000-0008-0000-0B00-000005000000}"/>
            </a:ext>
          </a:extLst>
        </xdr:cNvPr>
        <xdr:cNvPicPr>
          <a:picLocks noChangeAspect="1"/>
        </xdr:cNvPicPr>
      </xdr:nvPicPr>
      <xdr:blipFill>
        <a:blip xmlns:r="http://schemas.openxmlformats.org/officeDocument/2006/relationships" r:embed="rId2" cstate="print"/>
        <a:stretch>
          <a:fillRect/>
        </a:stretch>
      </xdr:blipFill>
      <xdr:spPr>
        <a:xfrm>
          <a:off x="6007100" y="676275"/>
          <a:ext cx="5419048" cy="3400000"/>
        </a:xfrm>
        <a:prstGeom prst="rect">
          <a:avLst/>
        </a:prstGeom>
        <a:ln>
          <a:solidFill>
            <a:schemeClr val="accent1"/>
          </a:solidFill>
        </a:ln>
      </xdr:spPr>
    </xdr:pic>
    <xdr:clientData/>
  </xdr:twoCellAnchor>
  <xdr:twoCellAnchor editAs="oneCell">
    <xdr:from>
      <xdr:col>9</xdr:col>
      <xdr:colOff>352425</xdr:colOff>
      <xdr:row>25</xdr:row>
      <xdr:rowOff>130175</xdr:rowOff>
    </xdr:from>
    <xdr:to>
      <xdr:col>17</xdr:col>
      <xdr:colOff>285073</xdr:colOff>
      <xdr:row>45</xdr:row>
      <xdr:rowOff>158318</xdr:rowOff>
    </xdr:to>
    <xdr:pic>
      <xdr:nvPicPr>
        <xdr:cNvPr id="7" name="図 6" descr="しんどうd.bmp">
          <a:extLst>
            <a:ext uri="{FF2B5EF4-FFF2-40B4-BE49-F238E27FC236}">
              <a16:creationId xmlns:a16="http://schemas.microsoft.com/office/drawing/2014/main" id="{00000000-0008-0000-0B00-000007000000}"/>
            </a:ext>
          </a:extLst>
        </xdr:cNvPr>
        <xdr:cNvPicPr>
          <a:picLocks noChangeAspect="1"/>
        </xdr:cNvPicPr>
      </xdr:nvPicPr>
      <xdr:blipFill>
        <a:blip xmlns:r="http://schemas.openxmlformats.org/officeDocument/2006/relationships" r:embed="rId3" cstate="print"/>
        <a:stretch>
          <a:fillRect/>
        </a:stretch>
      </xdr:blipFill>
      <xdr:spPr>
        <a:xfrm>
          <a:off x="6019800" y="4416425"/>
          <a:ext cx="5419048" cy="3457143"/>
        </a:xfrm>
        <a:prstGeom prst="rect">
          <a:avLst/>
        </a:prstGeom>
        <a:ln>
          <a:solidFill>
            <a:schemeClr val="accent1"/>
          </a:solidFill>
        </a:ln>
      </xdr:spPr>
    </xdr:pic>
    <xdr:clientData/>
  </xdr:twoCellAnchor>
  <xdr:twoCellAnchor editAs="oneCell">
    <xdr:from>
      <xdr:col>1</xdr:col>
      <xdr:colOff>47625</xdr:colOff>
      <xdr:row>25</xdr:row>
      <xdr:rowOff>114300</xdr:rowOff>
    </xdr:from>
    <xdr:to>
      <xdr:col>8</xdr:col>
      <xdr:colOff>666073</xdr:colOff>
      <xdr:row>45</xdr:row>
      <xdr:rowOff>171015</xdr:rowOff>
    </xdr:to>
    <xdr:pic>
      <xdr:nvPicPr>
        <xdr:cNvPr id="8" name="図 7" descr="しんどうc.bmp">
          <a:extLst>
            <a:ext uri="{FF2B5EF4-FFF2-40B4-BE49-F238E27FC236}">
              <a16:creationId xmlns:a16="http://schemas.microsoft.com/office/drawing/2014/main" id="{00000000-0008-0000-0B00-000008000000}"/>
            </a:ext>
          </a:extLst>
        </xdr:cNvPr>
        <xdr:cNvPicPr>
          <a:picLocks noChangeAspect="1"/>
        </xdr:cNvPicPr>
      </xdr:nvPicPr>
      <xdr:blipFill>
        <a:blip xmlns:r="http://schemas.openxmlformats.org/officeDocument/2006/relationships" r:embed="rId4" cstate="print"/>
        <a:stretch>
          <a:fillRect/>
        </a:stretch>
      </xdr:blipFill>
      <xdr:spPr>
        <a:xfrm>
          <a:off x="228600" y="4400550"/>
          <a:ext cx="5419048" cy="3485715"/>
        </a:xfrm>
        <a:prstGeom prst="rect">
          <a:avLst/>
        </a:prstGeom>
        <a:ln>
          <a:solidFill>
            <a:schemeClr val="accent1"/>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34"/>
  <sheetViews>
    <sheetView showGridLines="0" showRowColHeaders="0" tabSelected="1" workbookViewId="0">
      <selection activeCell="M6" sqref="M6"/>
    </sheetView>
  </sheetViews>
  <sheetFormatPr defaultRowHeight="13.5"/>
  <cols>
    <col min="2" max="2" width="12" customWidth="1"/>
    <col min="3" max="3" width="10.25" customWidth="1"/>
    <col min="4" max="4" width="2.875" customWidth="1"/>
  </cols>
  <sheetData>
    <row r="1" spans="2:9" ht="14.25" thickBot="1"/>
    <row r="2" spans="2:9">
      <c r="B2" s="993"/>
      <c r="C2" s="994"/>
      <c r="D2" s="994"/>
      <c r="E2" s="994"/>
      <c r="F2" s="994"/>
      <c r="G2" s="994"/>
      <c r="H2" s="994"/>
      <c r="I2" s="995"/>
    </row>
    <row r="3" spans="2:9">
      <c r="B3" s="1154" t="s">
        <v>449</v>
      </c>
      <c r="C3" s="1155"/>
      <c r="D3" s="1155"/>
      <c r="E3" s="1155"/>
      <c r="F3" s="1155"/>
      <c r="G3" s="1155"/>
      <c r="H3" s="996"/>
      <c r="I3" s="997"/>
    </row>
    <row r="4" spans="2:9">
      <c r="B4" s="1156"/>
      <c r="C4" s="1155"/>
      <c r="D4" s="1155"/>
      <c r="E4" s="1155"/>
      <c r="F4" s="1155"/>
      <c r="G4" s="1155"/>
      <c r="H4" s="1157" t="s">
        <v>529</v>
      </c>
      <c r="I4" s="1158"/>
    </row>
    <row r="5" spans="2:9">
      <c r="B5" s="1156"/>
      <c r="C5" s="1155"/>
      <c r="D5" s="1155"/>
      <c r="E5" s="1155"/>
      <c r="F5" s="1155"/>
      <c r="G5" s="1155"/>
      <c r="H5" s="1159"/>
      <c r="I5" s="1158"/>
    </row>
    <row r="6" spans="2:9">
      <c r="B6" s="998"/>
      <c r="C6" s="996"/>
      <c r="D6" s="996"/>
      <c r="E6" s="996"/>
      <c r="F6" s="996"/>
      <c r="G6" s="996"/>
      <c r="H6" s="996"/>
      <c r="I6" s="997"/>
    </row>
    <row r="7" spans="2:9">
      <c r="B7" s="998"/>
      <c r="C7" s="996"/>
      <c r="D7" s="996"/>
      <c r="E7" s="996"/>
      <c r="F7" s="996"/>
      <c r="G7" s="996"/>
      <c r="H7" s="996"/>
      <c r="I7" s="997"/>
    </row>
    <row r="8" spans="2:9" ht="14.25" thickBot="1">
      <c r="B8" s="999"/>
      <c r="C8" s="1000"/>
      <c r="D8" s="1000"/>
      <c r="E8" s="1000"/>
      <c r="F8" s="1000"/>
      <c r="G8" s="1000"/>
      <c r="H8" s="1000"/>
      <c r="I8" s="1001"/>
    </row>
    <row r="19" spans="3:8">
      <c r="C19" s="1160" t="s">
        <v>742</v>
      </c>
      <c r="D19" s="1160"/>
      <c r="E19" s="1160"/>
      <c r="F19" s="1160"/>
      <c r="G19" s="1160"/>
      <c r="H19" s="1160"/>
    </row>
    <row r="20" spans="3:8">
      <c r="C20" s="1160"/>
      <c r="D20" s="1160"/>
      <c r="E20" s="1160"/>
      <c r="F20" s="1160"/>
      <c r="G20" s="1160"/>
      <c r="H20" s="1160"/>
    </row>
    <row r="21" spans="3:8" ht="7.5" customHeight="1"/>
    <row r="22" spans="3:8">
      <c r="C22" s="1160" t="s">
        <v>743</v>
      </c>
      <c r="D22" s="1160"/>
      <c r="E22" s="1160"/>
      <c r="F22" s="1160"/>
      <c r="G22" s="1160"/>
      <c r="H22" s="1160"/>
    </row>
    <row r="23" spans="3:8">
      <c r="C23" s="1160"/>
      <c r="D23" s="1160"/>
      <c r="E23" s="1160"/>
      <c r="F23" s="1160"/>
      <c r="G23" s="1160"/>
      <c r="H23" s="1160"/>
    </row>
    <row r="24" spans="3:8" ht="8.25" customHeight="1"/>
    <row r="25" spans="3:8">
      <c r="C25" s="1160" t="s">
        <v>744</v>
      </c>
      <c r="D25" s="1160"/>
      <c r="E25" s="1160"/>
      <c r="F25" s="1160"/>
      <c r="G25" s="1160"/>
      <c r="H25" s="1160"/>
    </row>
    <row r="26" spans="3:8">
      <c r="C26" s="1160"/>
      <c r="D26" s="1160"/>
      <c r="E26" s="1160"/>
      <c r="F26" s="1160"/>
      <c r="G26" s="1160"/>
      <c r="H26" s="1160"/>
    </row>
    <row r="33" spans="3:8" ht="13.5" customHeight="1">
      <c r="C33" s="1152">
        <v>2014.07</v>
      </c>
      <c r="D33" s="1153"/>
      <c r="E33" s="1153"/>
      <c r="F33" s="1153"/>
      <c r="G33" s="1153"/>
      <c r="H33" s="1153"/>
    </row>
    <row r="34" spans="3:8" ht="13.5" customHeight="1">
      <c r="C34" s="1153"/>
      <c r="D34" s="1153"/>
      <c r="E34" s="1153"/>
      <c r="F34" s="1153"/>
      <c r="G34" s="1153"/>
      <c r="H34" s="1153"/>
    </row>
  </sheetData>
  <sheetProtection password="C638" sheet="1" objects="1" scenarios="1" selectLockedCells="1"/>
  <mergeCells count="6">
    <mergeCell ref="C33:H34"/>
    <mergeCell ref="B3:G5"/>
    <mergeCell ref="H4:I5"/>
    <mergeCell ref="C19:H20"/>
    <mergeCell ref="C22:H23"/>
    <mergeCell ref="C25:H26"/>
  </mergeCells>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AH61"/>
  <sheetViews>
    <sheetView showGridLines="0" showRowColHeaders="0" zoomScale="130" zoomScaleNormal="130" workbookViewId="0">
      <selection activeCell="E5" sqref="E5"/>
    </sheetView>
  </sheetViews>
  <sheetFormatPr defaultRowHeight="13.5"/>
  <cols>
    <col min="1" max="1" width="1.875" customWidth="1"/>
    <col min="2" max="3" width="8.75" style="374" customWidth="1"/>
    <col min="4" max="4" width="8.875" customWidth="1"/>
    <col min="5" max="6" width="8.75" customWidth="1"/>
    <col min="7" max="7" width="8.875" customWidth="1"/>
    <col min="8" max="8" width="10.125" customWidth="1"/>
    <col min="9" max="9" width="9.375" customWidth="1"/>
    <col min="10" max="10" width="8.75" customWidth="1"/>
    <col min="11" max="11" width="11" customWidth="1"/>
    <col min="12" max="12" width="10.625" customWidth="1"/>
    <col min="13" max="13" width="8.75" customWidth="1"/>
    <col min="14" max="14" width="9.75" customWidth="1"/>
    <col min="15" max="15" width="8.75" customWidth="1"/>
    <col min="16" max="16" width="12.75" customWidth="1"/>
    <col min="18" max="18" width="9.5" bestFit="1" customWidth="1"/>
    <col min="19" max="19" width="12.25" customWidth="1"/>
    <col min="20" max="21" width="9.125" bestFit="1" customWidth="1"/>
    <col min="23" max="23" width="9.125" bestFit="1" customWidth="1"/>
  </cols>
  <sheetData>
    <row r="2" spans="2:25" ht="21">
      <c r="B2" s="1210" t="s">
        <v>417</v>
      </c>
      <c r="C2" s="1211"/>
      <c r="D2" s="1211"/>
      <c r="E2" s="1211"/>
      <c r="F2" s="1153"/>
      <c r="G2" s="1153"/>
      <c r="H2" s="1310"/>
      <c r="I2" s="974" t="s">
        <v>495</v>
      </c>
      <c r="J2" s="975" t="s">
        <v>496</v>
      </c>
    </row>
    <row r="3" spans="2:25" ht="14.25" thickBot="1"/>
    <row r="4" spans="2:25">
      <c r="B4" s="179" t="s">
        <v>0</v>
      </c>
      <c r="C4" s="1096">
        <v>910</v>
      </c>
      <c r="D4" s="180" t="s">
        <v>4</v>
      </c>
      <c r="E4" s="180"/>
      <c r="F4" s="180"/>
      <c r="G4" s="180"/>
      <c r="H4" s="193"/>
      <c r="I4" s="373"/>
      <c r="J4" s="1168" t="s">
        <v>109</v>
      </c>
      <c r="K4" s="1183"/>
      <c r="L4" s="3"/>
      <c r="M4" s="3"/>
      <c r="N4" s="3"/>
      <c r="O4" s="4"/>
    </row>
    <row r="5" spans="2:25" ht="14.25" thickBot="1">
      <c r="B5" s="68" t="s">
        <v>12</v>
      </c>
      <c r="C5" s="1097" t="s">
        <v>745</v>
      </c>
      <c r="D5" s="51" t="s">
        <v>54</v>
      </c>
      <c r="E5" s="1098" t="s">
        <v>46</v>
      </c>
      <c r="F5" s="77"/>
      <c r="G5" s="77"/>
      <c r="H5" s="34"/>
      <c r="J5" s="42"/>
      <c r="K5" s="2"/>
      <c r="L5" s="2"/>
      <c r="M5" s="2"/>
      <c r="N5" s="2"/>
      <c r="O5" s="6"/>
    </row>
    <row r="6" spans="2:25" ht="15" thickTop="1" thickBot="1">
      <c r="B6" s="1320" t="s">
        <v>13</v>
      </c>
      <c r="C6" s="924" t="s">
        <v>78</v>
      </c>
      <c r="D6" s="818" t="s">
        <v>79</v>
      </c>
      <c r="E6" s="818" t="s">
        <v>79</v>
      </c>
      <c r="F6" s="1218" t="s">
        <v>177</v>
      </c>
      <c r="G6" s="1311"/>
      <c r="H6" s="1312"/>
      <c r="I6" s="413"/>
      <c r="J6" s="1172" t="s">
        <v>110</v>
      </c>
      <c r="K6" s="1211"/>
      <c r="L6" s="2"/>
      <c r="M6" s="2"/>
      <c r="N6" s="2"/>
      <c r="O6" s="6"/>
    </row>
    <row r="7" spans="2:25" ht="14.25" thickBot="1">
      <c r="B7" s="1320"/>
      <c r="C7" s="1106">
        <v>120</v>
      </c>
      <c r="D7" s="1100">
        <v>180</v>
      </c>
      <c r="E7" s="1101">
        <v>180</v>
      </c>
      <c r="F7" s="1313" t="str">
        <f>+IF((F9*1000/MAX(C32,E32))&lt;=12,"はりせい/スパン  OK!","使用上の支障が起きないか確認要：設計変更？？")</f>
        <v>はりせい/スパン  OK!</v>
      </c>
      <c r="G7" s="1314"/>
      <c r="H7" s="1315"/>
      <c r="I7" s="407"/>
      <c r="J7" s="42"/>
      <c r="K7" s="702"/>
      <c r="L7" s="703" t="s">
        <v>114</v>
      </c>
      <c r="M7" s="703" t="s">
        <v>116</v>
      </c>
      <c r="N7" s="750" t="s">
        <v>115</v>
      </c>
      <c r="O7" s="6"/>
    </row>
    <row r="8" spans="2:25" ht="14.25" thickTop="1">
      <c r="B8" s="230"/>
      <c r="C8" s="182"/>
      <c r="D8" s="47" t="s">
        <v>479</v>
      </c>
      <c r="E8" s="48" t="s">
        <v>480</v>
      </c>
      <c r="F8" s="41"/>
      <c r="G8" s="41"/>
      <c r="H8" s="34"/>
      <c r="J8" s="797" t="s">
        <v>482</v>
      </c>
      <c r="K8" s="1128" t="s">
        <v>113</v>
      </c>
      <c r="L8" s="1077">
        <v>100</v>
      </c>
      <c r="M8" s="317"/>
      <c r="N8" s="909"/>
      <c r="O8" s="921"/>
      <c r="P8" s="2"/>
      <c r="Q8" s="2"/>
      <c r="R8" s="2"/>
      <c r="S8" s="2"/>
      <c r="T8" s="2"/>
      <c r="U8" s="2"/>
      <c r="V8" s="2"/>
      <c r="W8" s="2"/>
      <c r="X8" s="2"/>
      <c r="Y8" s="2"/>
    </row>
    <row r="9" spans="2:25">
      <c r="B9" s="230" t="s">
        <v>383</v>
      </c>
      <c r="C9" s="223">
        <f>(G12/2)*1000</f>
        <v>910</v>
      </c>
      <c r="D9" s="41" t="s">
        <v>4</v>
      </c>
      <c r="E9" s="394" t="s">
        <v>387</v>
      </c>
      <c r="F9" s="1103">
        <v>1.82</v>
      </c>
      <c r="G9" s="77" t="s">
        <v>77</v>
      </c>
      <c r="H9" s="34"/>
      <c r="J9" s="880" t="s">
        <v>112</v>
      </c>
      <c r="K9" s="1128" t="s">
        <v>117</v>
      </c>
      <c r="L9" s="1077">
        <v>100</v>
      </c>
      <c r="M9" s="723"/>
      <c r="N9" s="751"/>
      <c r="O9" s="867"/>
      <c r="P9" s="2"/>
      <c r="Q9" s="2"/>
      <c r="R9" s="2"/>
      <c r="S9" s="2"/>
      <c r="T9" s="2"/>
      <c r="U9" s="2"/>
      <c r="V9" s="2"/>
      <c r="W9" s="2"/>
      <c r="X9" s="2"/>
      <c r="Y9" s="2"/>
    </row>
    <row r="10" spans="2:25" ht="14.25" thickBot="1">
      <c r="B10" s="68" t="s">
        <v>5</v>
      </c>
      <c r="C10" s="394">
        <v>2</v>
      </c>
      <c r="D10" s="77"/>
      <c r="E10" s="51" t="s">
        <v>454</v>
      </c>
      <c r="F10" s="1103">
        <v>0.4</v>
      </c>
      <c r="G10" s="695"/>
      <c r="H10" s="701"/>
      <c r="J10" s="711"/>
      <c r="K10" s="1129" t="s">
        <v>128</v>
      </c>
      <c r="L10" s="1078">
        <v>100</v>
      </c>
      <c r="M10" s="752">
        <f>SUM(L8:L10)</f>
        <v>300</v>
      </c>
      <c r="N10" s="753">
        <f>+ROUNDUP(M10/5,-1)*5</f>
        <v>300</v>
      </c>
      <c r="O10" s="867"/>
      <c r="P10" s="2"/>
      <c r="Q10" s="2"/>
      <c r="R10" s="2"/>
      <c r="S10" s="2"/>
      <c r="T10" s="2"/>
      <c r="U10" s="2"/>
      <c r="V10" s="2"/>
      <c r="W10" s="2"/>
      <c r="X10" s="2"/>
      <c r="Y10" s="2"/>
    </row>
    <row r="11" spans="2:25" ht="13.5" customHeight="1">
      <c r="B11" s="1297" t="s">
        <v>107</v>
      </c>
      <c r="C11" s="906" t="s">
        <v>96</v>
      </c>
      <c r="D11" s="859" t="s">
        <v>90</v>
      </c>
      <c r="E11" s="316" t="s">
        <v>103</v>
      </c>
      <c r="F11" s="45"/>
      <c r="G11" s="699"/>
      <c r="H11" s="701"/>
      <c r="J11" s="711"/>
      <c r="K11" s="580" t="s">
        <v>111</v>
      </c>
      <c r="L11" s="77" t="s">
        <v>127</v>
      </c>
      <c r="M11" s="77"/>
      <c r="N11" s="77"/>
      <c r="O11" s="867"/>
      <c r="P11" s="2"/>
      <c r="Q11" s="2"/>
      <c r="R11" s="2"/>
      <c r="S11" s="2"/>
      <c r="T11" s="2"/>
      <c r="U11" s="2"/>
      <c r="V11" s="2"/>
      <c r="W11" s="2"/>
      <c r="X11" s="2"/>
      <c r="Y11" s="2"/>
    </row>
    <row r="12" spans="2:25">
      <c r="B12" s="1297"/>
      <c r="C12" s="1088">
        <v>1</v>
      </c>
      <c r="D12" s="1087">
        <v>1</v>
      </c>
      <c r="E12" s="1087">
        <v>1</v>
      </c>
      <c r="F12" s="638" t="s">
        <v>444</v>
      </c>
      <c r="G12" s="1110">
        <v>1.82</v>
      </c>
      <c r="H12" s="197" t="s">
        <v>395</v>
      </c>
      <c r="J12" s="42"/>
      <c r="K12" s="2"/>
      <c r="L12" s="2"/>
      <c r="M12" s="2"/>
      <c r="N12" s="2"/>
      <c r="O12" s="867"/>
      <c r="P12" s="2"/>
      <c r="Q12" s="2"/>
      <c r="R12" s="2"/>
      <c r="S12" s="2"/>
      <c r="T12" s="2"/>
      <c r="U12" s="2"/>
      <c r="V12" s="2"/>
      <c r="W12" s="2"/>
      <c r="X12" s="2"/>
      <c r="Y12" s="2"/>
    </row>
    <row r="13" spans="2:25" ht="12" customHeight="1">
      <c r="B13" s="925" t="s">
        <v>7</v>
      </c>
      <c r="C13" s="225">
        <f>IF(C32&gt;300,(300/C32)^(1/9),1)</f>
        <v>1</v>
      </c>
      <c r="D13" s="51"/>
      <c r="H13" s="6"/>
      <c r="J13" s="1172" t="s">
        <v>120</v>
      </c>
      <c r="K13" s="1153"/>
      <c r="L13" s="77"/>
      <c r="M13" s="77"/>
      <c r="N13" s="77"/>
      <c r="O13" s="6"/>
      <c r="P13" s="2"/>
      <c r="Q13" s="2"/>
      <c r="R13" s="2"/>
      <c r="S13" s="2"/>
      <c r="T13" s="2"/>
      <c r="U13" s="2"/>
      <c r="V13" s="2"/>
      <c r="W13" s="2"/>
      <c r="X13" s="2"/>
      <c r="Y13" s="2"/>
    </row>
    <row r="14" spans="2:25" ht="14.25" thickBot="1">
      <c r="B14" s="68" t="s">
        <v>180</v>
      </c>
      <c r="C14" s="1321" t="s">
        <v>405</v>
      </c>
      <c r="D14" s="1310"/>
      <c r="E14" s="1310"/>
      <c r="F14" s="1310"/>
      <c r="G14" s="77"/>
      <c r="H14" s="34"/>
      <c r="J14" s="42"/>
      <c r="K14" s="884"/>
      <c r="L14" s="684"/>
      <c r="M14" s="684"/>
      <c r="N14" s="28" t="s">
        <v>450</v>
      </c>
      <c r="O14" s="6"/>
      <c r="P14" s="2"/>
      <c r="Q14" s="2"/>
      <c r="R14" s="2"/>
      <c r="S14" s="2"/>
      <c r="T14" s="2"/>
      <c r="U14" s="2"/>
      <c r="V14" s="2"/>
      <c r="W14" s="2"/>
      <c r="X14" s="2"/>
      <c r="Y14" s="2"/>
    </row>
    <row r="15" spans="2:25" ht="14.25" thickBot="1">
      <c r="B15" s="367"/>
      <c r="C15" s="1310"/>
      <c r="D15" s="1310"/>
      <c r="E15" s="1310"/>
      <c r="F15" s="1310"/>
      <c r="G15" s="77"/>
      <c r="H15" s="192"/>
      <c r="J15" s="711"/>
      <c r="K15" s="706" t="s">
        <v>453</v>
      </c>
      <c r="L15" s="1079">
        <v>1800</v>
      </c>
      <c r="M15" s="51"/>
      <c r="N15" s="28" t="s">
        <v>453</v>
      </c>
      <c r="O15" s="881">
        <v>1800</v>
      </c>
      <c r="P15" s="2"/>
      <c r="Q15" s="2"/>
      <c r="R15" s="2"/>
      <c r="S15" s="2"/>
      <c r="T15" s="2"/>
      <c r="U15" s="2"/>
      <c r="V15" s="2"/>
      <c r="W15" s="2"/>
      <c r="X15" s="2"/>
      <c r="Y15" s="2"/>
    </row>
    <row r="16" spans="2:25" ht="14.25" thickBot="1">
      <c r="B16" s="331" t="s">
        <v>263</v>
      </c>
      <c r="C16" s="337" t="s">
        <v>221</v>
      </c>
      <c r="D16" s="3"/>
      <c r="E16" s="180"/>
      <c r="F16" s="180"/>
      <c r="G16" s="180"/>
      <c r="H16" s="193"/>
      <c r="I16" s="42"/>
      <c r="J16" s="711"/>
      <c r="K16" s="708" t="s">
        <v>122</v>
      </c>
      <c r="L16" s="1080">
        <v>600</v>
      </c>
      <c r="M16" s="51" t="s">
        <v>121</v>
      </c>
      <c r="N16" s="28" t="s">
        <v>122</v>
      </c>
      <c r="O16" s="881">
        <v>600</v>
      </c>
      <c r="P16" s="2"/>
      <c r="Q16" s="2"/>
      <c r="R16" s="2"/>
      <c r="S16" s="2"/>
      <c r="T16" s="2"/>
      <c r="U16" s="2"/>
      <c r="V16" s="2"/>
      <c r="W16" s="2"/>
      <c r="X16" s="2"/>
      <c r="Y16" s="2"/>
    </row>
    <row r="17" spans="2:34" ht="14.25" thickBot="1">
      <c r="B17" s="230"/>
      <c r="C17" s="182"/>
      <c r="D17" s="429" t="s">
        <v>389</v>
      </c>
      <c r="E17" s="231">
        <f>(F10)*(C7)*(D7)*9.8/1000</f>
        <v>84.671999999999997</v>
      </c>
      <c r="F17" s="430" t="s">
        <v>396</v>
      </c>
      <c r="G17" s="77"/>
      <c r="I17" s="5"/>
      <c r="J17" s="765"/>
      <c r="K17" s="14"/>
      <c r="L17" s="14"/>
      <c r="M17" s="14"/>
      <c r="N17" s="14"/>
      <c r="O17" s="15"/>
      <c r="P17" s="2"/>
      <c r="Q17" s="2"/>
      <c r="R17" s="2"/>
      <c r="S17" s="2"/>
      <c r="T17" s="2"/>
      <c r="U17" s="2"/>
      <c r="V17" s="2"/>
      <c r="W17" s="2"/>
      <c r="X17" s="684"/>
      <c r="Y17" s="2"/>
      <c r="AD17" s="1044" t="s">
        <v>46</v>
      </c>
      <c r="AE17" s="1018">
        <v>45</v>
      </c>
      <c r="AF17" s="1046">
        <v>1</v>
      </c>
      <c r="AG17" s="1046"/>
      <c r="AH17" s="1046"/>
    </row>
    <row r="18" spans="2:34">
      <c r="B18" s="230"/>
      <c r="C18" s="182"/>
      <c r="D18" s="431" t="s">
        <v>82</v>
      </c>
      <c r="E18" s="194">
        <f>(N19)*(C9)/1000</f>
        <v>1911</v>
      </c>
      <c r="F18" s="432" t="s">
        <v>396</v>
      </c>
      <c r="G18" s="428" t="s">
        <v>84</v>
      </c>
      <c r="I18" s="42"/>
      <c r="J18" s="1316" t="s">
        <v>384</v>
      </c>
      <c r="K18" s="1317"/>
      <c r="L18" s="912" t="s">
        <v>382</v>
      </c>
      <c r="M18" s="917" t="s">
        <v>391</v>
      </c>
      <c r="N18" s="914"/>
      <c r="O18" s="920"/>
      <c r="P18" s="2"/>
      <c r="Q18" s="2"/>
      <c r="R18" s="2"/>
      <c r="S18" s="2"/>
      <c r="T18" s="2"/>
      <c r="U18" s="2"/>
      <c r="V18" s="2"/>
      <c r="W18" s="2"/>
      <c r="X18" s="2"/>
      <c r="Y18" s="2"/>
      <c r="AD18" s="1045" t="s">
        <v>45</v>
      </c>
      <c r="AE18" s="1018">
        <v>60</v>
      </c>
      <c r="AF18" s="1046">
        <v>2</v>
      </c>
      <c r="AG18" s="1046"/>
      <c r="AH18" s="1046"/>
    </row>
    <row r="19" spans="2:34">
      <c r="B19" s="68"/>
      <c r="C19" s="182"/>
      <c r="D19" s="431" t="s">
        <v>375</v>
      </c>
      <c r="E19" s="194">
        <v>0</v>
      </c>
      <c r="F19" s="432" t="s">
        <v>396</v>
      </c>
      <c r="G19" s="41"/>
      <c r="H19" s="34"/>
      <c r="I19" s="42"/>
      <c r="J19" s="1322" t="s">
        <v>385</v>
      </c>
      <c r="K19" s="1229"/>
      <c r="L19" s="313">
        <f>N10</f>
        <v>300</v>
      </c>
      <c r="M19" s="918">
        <f>L15</f>
        <v>1800</v>
      </c>
      <c r="N19" s="915">
        <f>(L19)+(M19)</f>
        <v>2100</v>
      </c>
      <c r="O19" s="462"/>
      <c r="P19" s="2"/>
      <c r="Q19" s="2"/>
      <c r="R19" s="2"/>
      <c r="S19" s="2"/>
      <c r="T19" s="2"/>
      <c r="U19" s="2"/>
      <c r="V19" s="2"/>
      <c r="W19" s="2"/>
      <c r="X19" s="2"/>
      <c r="Y19" s="2"/>
      <c r="AD19" s="1045" t="s">
        <v>47</v>
      </c>
      <c r="AE19" s="1018">
        <v>75</v>
      </c>
      <c r="AF19" s="1046">
        <v>3</v>
      </c>
      <c r="AG19" s="1046"/>
      <c r="AH19" s="1046"/>
    </row>
    <row r="20" spans="2:34" ht="14.25" thickBot="1">
      <c r="B20" s="440"/>
      <c r="C20" s="182"/>
      <c r="D20" s="434" t="s">
        <v>281</v>
      </c>
      <c r="E20" s="433">
        <f>($E$17+$E$18+E19)</f>
        <v>1995.672</v>
      </c>
      <c r="F20" s="432" t="s">
        <v>396</v>
      </c>
      <c r="H20" s="34"/>
      <c r="I20" s="5"/>
      <c r="J20" s="1323" t="s">
        <v>386</v>
      </c>
      <c r="K20" s="1324"/>
      <c r="L20" s="913">
        <f>N10</f>
        <v>300</v>
      </c>
      <c r="M20" s="919">
        <f>L16</f>
        <v>600</v>
      </c>
      <c r="N20" s="916">
        <f>(L20)+(M20)</f>
        <v>900</v>
      </c>
      <c r="O20" s="949" t="s">
        <v>299</v>
      </c>
      <c r="P20" s="2"/>
      <c r="Q20" s="2"/>
      <c r="R20" s="2"/>
      <c r="S20" s="2"/>
      <c r="T20" s="2"/>
      <c r="U20" s="2"/>
      <c r="V20" s="2"/>
      <c r="W20" s="2"/>
      <c r="X20" s="2"/>
      <c r="Y20" s="2"/>
      <c r="AD20" s="1045" t="s">
        <v>48</v>
      </c>
      <c r="AE20" s="1018">
        <v>90</v>
      </c>
      <c r="AF20" s="1046">
        <v>4</v>
      </c>
      <c r="AG20" s="1046"/>
      <c r="AH20" s="1046"/>
    </row>
    <row r="21" spans="2:34">
      <c r="B21" s="440"/>
      <c r="C21" s="443"/>
      <c r="D21" s="429" t="s">
        <v>389</v>
      </c>
      <c r="E21" s="231">
        <f>(F10)*(C7)*(E7)*9.8/1000</f>
        <v>84.671999999999997</v>
      </c>
      <c r="F21" s="430" t="s">
        <v>396</v>
      </c>
      <c r="G21" s="77"/>
      <c r="H21" s="6"/>
      <c r="I21" s="42"/>
      <c r="P21" s="2"/>
      <c r="Q21" s="2"/>
      <c r="R21" s="2"/>
      <c r="S21" s="2"/>
      <c r="T21" s="2"/>
      <c r="U21" s="2"/>
      <c r="V21" s="2"/>
      <c r="W21" s="2"/>
      <c r="X21" s="2"/>
      <c r="Y21" s="2"/>
      <c r="AD21" s="1045" t="s">
        <v>49</v>
      </c>
      <c r="AE21" s="1018">
        <v>105</v>
      </c>
      <c r="AF21" s="1046">
        <v>5</v>
      </c>
      <c r="AG21" s="1046"/>
      <c r="AH21" s="1046"/>
    </row>
    <row r="22" spans="2:34">
      <c r="B22" s="68"/>
      <c r="C22" s="443"/>
      <c r="D22" s="431" t="s">
        <v>82</v>
      </c>
      <c r="E22" s="438">
        <f>(N20)*(C9)/1000</f>
        <v>819</v>
      </c>
      <c r="F22" s="432" t="s">
        <v>396</v>
      </c>
      <c r="G22" s="442" t="s">
        <v>390</v>
      </c>
      <c r="H22" s="6"/>
      <c r="I22" s="42"/>
      <c r="P22" s="2"/>
      <c r="Q22" s="2"/>
      <c r="R22" s="2"/>
      <c r="S22" s="2"/>
      <c r="T22" s="2"/>
      <c r="U22" s="2"/>
      <c r="V22" s="2"/>
      <c r="W22" s="2"/>
      <c r="X22" s="2"/>
      <c r="Y22" s="2"/>
      <c r="AD22" s="1045" t="s">
        <v>50</v>
      </c>
      <c r="AE22" s="1018">
        <v>120</v>
      </c>
      <c r="AF22" s="1046">
        <v>6</v>
      </c>
      <c r="AG22" s="1046"/>
      <c r="AH22" s="1046"/>
    </row>
    <row r="23" spans="2:34">
      <c r="B23" s="230"/>
      <c r="C23" s="443"/>
      <c r="D23" s="431" t="s">
        <v>375</v>
      </c>
      <c r="E23" s="438">
        <f>E19</f>
        <v>0</v>
      </c>
      <c r="F23" s="432" t="s">
        <v>396</v>
      </c>
      <c r="G23" s="41"/>
      <c r="H23" s="6"/>
      <c r="I23" s="42"/>
      <c r="X23" s="2"/>
      <c r="AD23" s="1045" t="s">
        <v>51</v>
      </c>
      <c r="AE23" s="1046">
        <v>135</v>
      </c>
      <c r="AF23" s="1046">
        <v>7</v>
      </c>
      <c r="AG23" s="1046"/>
      <c r="AH23" s="1046"/>
    </row>
    <row r="24" spans="2:34" ht="14.25" thickBot="1">
      <c r="B24" s="230"/>
      <c r="C24" s="443"/>
      <c r="D24" s="435" t="s">
        <v>281</v>
      </c>
      <c r="E24" s="436">
        <f>($E$21+$E$22+E23)</f>
        <v>903.67200000000003</v>
      </c>
      <c r="F24" s="437" t="s">
        <v>396</v>
      </c>
      <c r="H24" s="6"/>
      <c r="I24" s="42"/>
      <c r="X24" s="2"/>
      <c r="AD24" s="1045" t="s">
        <v>52</v>
      </c>
      <c r="AE24" s="1046">
        <v>150</v>
      </c>
      <c r="AF24" s="1046">
        <v>8</v>
      </c>
      <c r="AG24" s="1046"/>
      <c r="AH24" s="1046"/>
    </row>
    <row r="25" spans="2:34">
      <c r="B25" s="981"/>
      <c r="C25" s="903" t="s">
        <v>101</v>
      </c>
      <c r="D25" s="904" t="s">
        <v>100</v>
      </c>
      <c r="E25" s="904" t="s">
        <v>102</v>
      </c>
      <c r="F25" s="982"/>
      <c r="G25" s="180"/>
      <c r="H25" s="193"/>
      <c r="I25" s="42"/>
      <c r="X25" s="2"/>
      <c r="Y25" s="2"/>
      <c r="AD25" s="1045" t="s">
        <v>53</v>
      </c>
      <c r="AE25" s="1046">
        <v>180</v>
      </c>
      <c r="AF25" s="1046">
        <v>9</v>
      </c>
      <c r="AG25" s="1046"/>
      <c r="AH25" s="1046"/>
    </row>
    <row r="26" spans="2:34" ht="13.5" customHeight="1">
      <c r="B26" s="976" t="s">
        <v>15</v>
      </c>
      <c r="C26" s="843"/>
      <c r="D26" s="841">
        <f>(C7)*(C32)*(C12)</f>
        <v>21600</v>
      </c>
      <c r="E26" s="844"/>
      <c r="F26" s="459" t="s">
        <v>11</v>
      </c>
      <c r="G26" s="77"/>
      <c r="H26" s="34"/>
      <c r="AD26" s="1047">
        <v>910</v>
      </c>
      <c r="AE26" s="1046">
        <v>210</v>
      </c>
      <c r="AF26" s="1020">
        <v>1</v>
      </c>
      <c r="AG26" s="1046"/>
      <c r="AH26" s="1046"/>
    </row>
    <row r="27" spans="2:34">
      <c r="B27" s="976" t="s">
        <v>14</v>
      </c>
      <c r="C27" s="842">
        <f>(D12)*((C7)*(C32)^2)/6</f>
        <v>648000</v>
      </c>
      <c r="D27" s="844"/>
      <c r="E27" s="844"/>
      <c r="F27" s="459" t="s">
        <v>38</v>
      </c>
      <c r="G27" s="77"/>
      <c r="H27" s="34"/>
      <c r="AD27" s="1047">
        <v>950</v>
      </c>
      <c r="AE27" s="1046">
        <v>240</v>
      </c>
      <c r="AF27" s="1020">
        <v>1.1499999999999999</v>
      </c>
      <c r="AG27" s="1046"/>
      <c r="AH27" s="1046"/>
    </row>
    <row r="28" spans="2:34" ht="12" customHeight="1">
      <c r="B28" s="976" t="s">
        <v>10</v>
      </c>
      <c r="C28" s="843"/>
      <c r="D28" s="844"/>
      <c r="E28" s="842">
        <f>(E12)*((C7)*(E32)^3)/12</f>
        <v>58320000</v>
      </c>
      <c r="F28" s="459" t="s">
        <v>39</v>
      </c>
      <c r="G28" s="77"/>
      <c r="H28" s="34"/>
      <c r="AD28" s="1047">
        <v>1000</v>
      </c>
      <c r="AE28" s="1046">
        <v>270</v>
      </c>
      <c r="AF28" s="1020">
        <v>1.25</v>
      </c>
      <c r="AG28" s="1046"/>
      <c r="AH28" s="1046"/>
    </row>
    <row r="29" spans="2:34" ht="14.25" thickBot="1">
      <c r="B29" s="230"/>
      <c r="C29" s="182"/>
      <c r="D29" s="41"/>
      <c r="E29" s="41"/>
      <c r="F29" s="77"/>
      <c r="G29" s="77"/>
      <c r="H29" s="192"/>
      <c r="I29" s="691" t="s">
        <v>445</v>
      </c>
      <c r="AD29" s="1047">
        <v>985</v>
      </c>
      <c r="AE29" s="1046">
        <v>300</v>
      </c>
      <c r="AF29" s="1060" t="s">
        <v>731</v>
      </c>
      <c r="AG29" s="1046"/>
      <c r="AH29" s="1046"/>
    </row>
    <row r="30" spans="2:34" ht="15" thickTop="1" thickBot="1">
      <c r="B30" s="1289" t="s">
        <v>73</v>
      </c>
      <c r="C30" s="1309"/>
      <c r="D30" s="1309"/>
      <c r="E30" s="1309"/>
      <c r="F30" s="1284" t="s">
        <v>242</v>
      </c>
      <c r="G30" s="1306"/>
      <c r="I30" s="636" t="s">
        <v>231</v>
      </c>
      <c r="J30" s="637" t="str">
        <f>(J42)</f>
        <v>◯</v>
      </c>
      <c r="K30" s="1318" t="s">
        <v>44</v>
      </c>
      <c r="L30" s="700"/>
      <c r="AD30" s="1047" t="s">
        <v>722</v>
      </c>
      <c r="AE30" s="1046">
        <v>330</v>
      </c>
      <c r="AF30" s="1060" t="s">
        <v>719</v>
      </c>
      <c r="AG30" s="1046"/>
      <c r="AH30" s="1046"/>
    </row>
    <row r="31" spans="2:34" ht="14.25" thickBot="1">
      <c r="B31" s="1293" t="s">
        <v>44</v>
      </c>
      <c r="C31" s="1307"/>
      <c r="D31" s="1282" t="s">
        <v>43</v>
      </c>
      <c r="E31" s="1307"/>
      <c r="F31" s="1307"/>
      <c r="G31" s="1308"/>
      <c r="H31" s="2"/>
      <c r="I31" s="621" t="s">
        <v>321</v>
      </c>
      <c r="J31" s="623" t="str">
        <f>(J50)</f>
        <v>◯</v>
      </c>
      <c r="K31" s="1319"/>
      <c r="L31" s="700"/>
      <c r="AD31" s="1048" t="s">
        <v>712</v>
      </c>
      <c r="AE31" s="1046">
        <v>360</v>
      </c>
      <c r="AF31" s="1060" t="s">
        <v>732</v>
      </c>
      <c r="AG31" s="1046">
        <f>C4/1000</f>
        <v>0.91</v>
      </c>
      <c r="AH31" s="1046"/>
    </row>
    <row r="32" spans="2:34" ht="14.25" thickBot="1">
      <c r="B32" s="849">
        <f>C7</f>
        <v>120</v>
      </c>
      <c r="C32" s="850">
        <f>D7</f>
        <v>180</v>
      </c>
      <c r="D32" s="847">
        <f>C7</f>
        <v>120</v>
      </c>
      <c r="E32" s="848">
        <f>E7</f>
        <v>180</v>
      </c>
      <c r="F32" s="1287">
        <f>G45</f>
        <v>1816.06152</v>
      </c>
      <c r="G32" s="1296"/>
      <c r="H32" s="2"/>
      <c r="I32" s="622" t="s">
        <v>343</v>
      </c>
      <c r="J32" s="625" t="str">
        <f>(J56)</f>
        <v>◯</v>
      </c>
      <c r="K32" s="923" t="s">
        <v>43</v>
      </c>
      <c r="L32" s="694"/>
      <c r="AD32" s="1048" t="s">
        <v>728</v>
      </c>
      <c r="AE32" s="1046">
        <v>390</v>
      </c>
      <c r="AF32" s="1060" t="s">
        <v>721</v>
      </c>
      <c r="AG32" s="1046">
        <f>AG31*2</f>
        <v>1.82</v>
      </c>
      <c r="AH32" s="1046"/>
    </row>
    <row r="33" spans="2:34" ht="14.25" thickTop="1">
      <c r="X33" s="2"/>
      <c r="Y33" s="2"/>
      <c r="AD33" s="1046" t="s">
        <v>183</v>
      </c>
      <c r="AE33" s="1060" t="s">
        <v>189</v>
      </c>
      <c r="AF33" s="1061" t="s">
        <v>187</v>
      </c>
      <c r="AG33" s="1046">
        <f>AG31*3</f>
        <v>2.73</v>
      </c>
      <c r="AH33" s="1046"/>
    </row>
    <row r="34" spans="2:34">
      <c r="I34" s="2"/>
      <c r="AD34" s="1046" t="s">
        <v>184</v>
      </c>
      <c r="AE34" s="1060" t="s">
        <v>190</v>
      </c>
      <c r="AF34" s="1062" t="s">
        <v>188</v>
      </c>
      <c r="AG34" s="1046">
        <f>AG31*4</f>
        <v>3.64</v>
      </c>
      <c r="AH34" s="1046"/>
    </row>
    <row r="35" spans="2:34" ht="14.25" thickBot="1">
      <c r="I35" s="2"/>
      <c r="V35" s="2"/>
      <c r="W35" s="2"/>
      <c r="X35" s="2"/>
      <c r="Y35" s="2"/>
      <c r="AD35" s="1046" t="s">
        <v>185</v>
      </c>
      <c r="AE35" s="1062" t="s">
        <v>726</v>
      </c>
      <c r="AF35" s="1062" t="s">
        <v>118</v>
      </c>
      <c r="AG35" s="1046" t="s">
        <v>393</v>
      </c>
      <c r="AH35" s="1046"/>
    </row>
    <row r="36" spans="2:34">
      <c r="B36" s="297" t="s">
        <v>231</v>
      </c>
      <c r="C36" s="427"/>
      <c r="D36" s="427"/>
      <c r="E36" s="421"/>
      <c r="F36" s="421"/>
      <c r="G36" s="421"/>
      <c r="H36" s="421"/>
      <c r="I36" s="421"/>
      <c r="J36" s="424"/>
      <c r="V36" s="2"/>
      <c r="W36" s="2"/>
      <c r="X36" s="2"/>
      <c r="Y36" s="2"/>
      <c r="AD36" s="1046" t="s">
        <v>186</v>
      </c>
      <c r="AE36" s="1062" t="s">
        <v>733</v>
      </c>
      <c r="AF36" s="1045" t="s">
        <v>119</v>
      </c>
      <c r="AG36" s="1046" t="s">
        <v>394</v>
      </c>
      <c r="AH36" s="1046"/>
    </row>
    <row r="37" spans="2:34">
      <c r="B37" s="640" t="s">
        <v>448</v>
      </c>
      <c r="C37" s="244"/>
      <c r="D37" s="245"/>
      <c r="E37" s="245"/>
      <c r="F37" s="245"/>
      <c r="G37" s="245"/>
      <c r="H37" s="245"/>
      <c r="I37" s="245"/>
      <c r="J37" s="246"/>
      <c r="V37" s="2"/>
      <c r="W37" s="2"/>
      <c r="X37" s="2"/>
      <c r="Y37" s="2"/>
      <c r="AD37" s="1046"/>
      <c r="AE37" s="1046"/>
      <c r="AF37" s="1045" t="s">
        <v>118</v>
      </c>
      <c r="AG37" s="1045" t="s">
        <v>118</v>
      </c>
      <c r="AH37" s="1046"/>
    </row>
    <row r="38" spans="2:34">
      <c r="B38" s="338" t="s">
        <v>221</v>
      </c>
      <c r="C38" s="529" t="s">
        <v>642</v>
      </c>
      <c r="D38" s="88">
        <f>(E20)</f>
        <v>1995.672</v>
      </c>
      <c r="E38" s="118">
        <f>($F$9)</f>
        <v>1.82</v>
      </c>
      <c r="F38" s="19" t="s">
        <v>88</v>
      </c>
      <c r="G38" s="125">
        <f>((D38)*(E38)*(E38))/8</f>
        <v>826.30799160000004</v>
      </c>
      <c r="H38" s="19" t="s">
        <v>91</v>
      </c>
      <c r="J38" s="6"/>
      <c r="V38" s="2"/>
      <c r="W38" s="2"/>
      <c r="X38" s="2"/>
      <c r="Y38" s="2"/>
    </row>
    <row r="39" spans="2:34">
      <c r="B39" s="415"/>
      <c r="C39" s="247"/>
      <c r="D39" s="17" t="s">
        <v>18</v>
      </c>
      <c r="E39" s="396" t="s">
        <v>92</v>
      </c>
      <c r="F39" s="248"/>
      <c r="G39" s="248"/>
      <c r="H39" s="248"/>
      <c r="J39" s="6"/>
      <c r="V39" s="2"/>
      <c r="W39" s="2"/>
      <c r="X39" s="2"/>
      <c r="Y39" s="2"/>
    </row>
    <row r="40" spans="2:34">
      <c r="B40" s="338" t="s">
        <v>231</v>
      </c>
      <c r="C40" s="529" t="s">
        <v>643</v>
      </c>
      <c r="D40" s="279">
        <f>((G38))/($C$27)*1000</f>
        <v>1.2751666537037036</v>
      </c>
      <c r="E40" s="398" t="s">
        <v>285</v>
      </c>
      <c r="H40" s="2"/>
      <c r="I40" s="2"/>
      <c r="J40" s="6"/>
      <c r="V40" s="2"/>
      <c r="W40" s="2"/>
      <c r="X40" s="2"/>
      <c r="Y40" s="2"/>
    </row>
    <row r="41" spans="2:34">
      <c r="B41" s="11"/>
      <c r="C41" s="1009" t="s">
        <v>94</v>
      </c>
      <c r="D41" s="19" t="s">
        <v>89</v>
      </c>
      <c r="E41" s="119">
        <f>C13</f>
        <v>1</v>
      </c>
      <c r="F41" s="159">
        <f>1.1*(data!F14)/3</f>
        <v>13.019453333333333</v>
      </c>
      <c r="G41" s="120">
        <f>C13</f>
        <v>1</v>
      </c>
      <c r="H41" s="280">
        <f>(F41)*(G41)</f>
        <v>13.019453333333333</v>
      </c>
      <c r="I41" s="51" t="s">
        <v>20</v>
      </c>
      <c r="J41" s="246"/>
      <c r="V41" s="2"/>
      <c r="W41" s="2"/>
      <c r="X41" s="2"/>
      <c r="Y41" s="2"/>
    </row>
    <row r="42" spans="2:34" ht="14.25" thickBot="1">
      <c r="B42" s="11"/>
      <c r="C42" s="253"/>
      <c r="D42" s="254"/>
      <c r="E42" s="378" t="s">
        <v>371</v>
      </c>
      <c r="F42" s="254"/>
      <c r="G42" s="62" t="s">
        <v>17</v>
      </c>
      <c r="H42" s="254"/>
      <c r="I42" s="175" t="s">
        <v>322</v>
      </c>
      <c r="J42" s="619" t="str">
        <f>IF(D40&lt;=H41,"◯","×")</f>
        <v>◯</v>
      </c>
      <c r="Y42" s="2"/>
    </row>
    <row r="43" spans="2:34">
      <c r="B43" s="426" t="s">
        <v>321</v>
      </c>
      <c r="C43" s="420"/>
      <c r="D43" s="420"/>
      <c r="E43" s="421"/>
      <c r="F43" s="421"/>
      <c r="G43" s="421"/>
      <c r="H43" s="421"/>
      <c r="I43" s="421"/>
      <c r="J43" s="425"/>
      <c r="Y43" s="2"/>
    </row>
    <row r="44" spans="2:34">
      <c r="B44" s="415"/>
      <c r="C44" s="248"/>
      <c r="D44" s="248"/>
      <c r="E44" s="248"/>
      <c r="F44" s="248"/>
      <c r="G44" s="248"/>
      <c r="H44" s="248"/>
      <c r="J44" s="6"/>
      <c r="Y44" s="2"/>
    </row>
    <row r="45" spans="2:34">
      <c r="B45" s="338" t="s">
        <v>221</v>
      </c>
      <c r="C45" s="574" t="s">
        <v>644</v>
      </c>
      <c r="D45" s="88">
        <f>(E20)</f>
        <v>1995.672</v>
      </c>
      <c r="E45" s="118">
        <f>($F$9)</f>
        <v>1.82</v>
      </c>
      <c r="F45" s="398" t="s">
        <v>95</v>
      </c>
      <c r="G45" s="125">
        <f>(D45)*(E45)/2</f>
        <v>1816.06152</v>
      </c>
      <c r="H45" s="19" t="s">
        <v>31</v>
      </c>
      <c r="J45" s="6"/>
      <c r="Y45" s="2"/>
    </row>
    <row r="46" spans="2:34">
      <c r="B46" s="415"/>
      <c r="C46" s="252"/>
      <c r="D46" s="17" t="s">
        <v>18</v>
      </c>
      <c r="E46" s="396" t="s">
        <v>92</v>
      </c>
      <c r="F46" s="248"/>
      <c r="G46" s="248"/>
      <c r="H46" s="248"/>
      <c r="J46" s="6"/>
      <c r="Y46" s="2"/>
    </row>
    <row r="47" spans="2:34">
      <c r="B47" s="416" t="s">
        <v>293</v>
      </c>
      <c r="C47" s="574" t="s">
        <v>645</v>
      </c>
      <c r="D47" s="93" t="s">
        <v>32</v>
      </c>
      <c r="E47" s="125">
        <f>G45</f>
        <v>1816.06152</v>
      </c>
      <c r="F47" s="123">
        <f>(D26)</f>
        <v>21600</v>
      </c>
      <c r="G47" s="159">
        <f>1.5*(E47)/(F47)</f>
        <v>0.12611538333333333</v>
      </c>
      <c r="H47" s="401" t="s">
        <v>36</v>
      </c>
      <c r="I47" s="245"/>
      <c r="J47" s="246"/>
      <c r="Y47" s="2"/>
    </row>
    <row r="48" spans="2:34">
      <c r="B48" s="415"/>
      <c r="C48" s="401"/>
      <c r="D48" s="19"/>
      <c r="E48" s="19"/>
      <c r="F48" s="398" t="s">
        <v>315</v>
      </c>
      <c r="G48" s="92"/>
      <c r="H48" s="19"/>
      <c r="I48" s="245"/>
      <c r="J48" s="246"/>
      <c r="Y48" s="2"/>
    </row>
    <row r="49" spans="2:25">
      <c r="B49" s="415"/>
      <c r="C49" s="1010" t="s">
        <v>94</v>
      </c>
      <c r="D49" s="92" t="s">
        <v>89</v>
      </c>
      <c r="E49" s="119">
        <f>C13</f>
        <v>1</v>
      </c>
      <c r="F49" s="92">
        <f>1.1*(data!I14)/3</f>
        <v>0.66</v>
      </c>
      <c r="G49" s="120">
        <f>C13</f>
        <v>1</v>
      </c>
      <c r="H49" s="19">
        <f>(F49)*(G49)</f>
        <v>0.66</v>
      </c>
      <c r="I49" s="252" t="s">
        <v>36</v>
      </c>
      <c r="J49" s="246"/>
      <c r="Y49" s="2"/>
    </row>
    <row r="50" spans="2:25" ht="14.25" thickBot="1">
      <c r="B50" s="417"/>
      <c r="C50" s="253"/>
      <c r="D50" s="254"/>
      <c r="E50" s="253" t="s">
        <v>17</v>
      </c>
      <c r="F50" s="254"/>
      <c r="G50" s="62" t="s">
        <v>17</v>
      </c>
      <c r="H50" s="254"/>
      <c r="I50" s="175" t="s">
        <v>322</v>
      </c>
      <c r="J50" s="619" t="str">
        <f>IF(G47&lt;=H49,"◯","×")</f>
        <v>◯</v>
      </c>
      <c r="V50" s="2"/>
      <c r="W50" s="2"/>
      <c r="X50" s="2"/>
      <c r="Y50" s="2"/>
    </row>
    <row r="51" spans="2:25">
      <c r="B51" s="418" t="s">
        <v>122</v>
      </c>
      <c r="C51" s="419"/>
      <c r="D51" s="420"/>
      <c r="E51" s="421"/>
      <c r="F51" s="421"/>
      <c r="G51" s="421"/>
      <c r="H51" s="421"/>
      <c r="I51" s="421"/>
      <c r="J51" s="424"/>
      <c r="V51" s="2"/>
      <c r="W51" s="2"/>
      <c r="X51" s="2"/>
      <c r="Y51" s="2"/>
    </row>
    <row r="52" spans="2:25">
      <c r="B52" s="11"/>
      <c r="C52" s="7"/>
      <c r="D52" s="248"/>
      <c r="E52" s="248"/>
      <c r="F52" s="248"/>
      <c r="G52" s="248"/>
      <c r="H52" s="248"/>
      <c r="I52" s="248"/>
      <c r="J52" s="246"/>
      <c r="V52" s="2"/>
      <c r="W52" s="2"/>
      <c r="X52" s="2"/>
      <c r="Y52" s="2"/>
    </row>
    <row r="53" spans="2:25">
      <c r="B53" s="338" t="s">
        <v>221</v>
      </c>
      <c r="C53" s="574" t="s">
        <v>64</v>
      </c>
      <c r="D53" s="288">
        <f>E24</f>
        <v>903.67200000000003</v>
      </c>
      <c r="E53" s="118">
        <f>($F$9)</f>
        <v>1.82</v>
      </c>
      <c r="F53" s="77" t="s">
        <v>162</v>
      </c>
      <c r="G53" s="19">
        <f>data!H20</f>
        <v>7.2972799999999998</v>
      </c>
      <c r="H53" s="163">
        <f>E28</f>
        <v>58320000</v>
      </c>
      <c r="I53" s="401" t="s">
        <v>105</v>
      </c>
      <c r="J53" s="281">
        <f>(5*($D$53)*($E$53)^4)/(384*1000*($G$53)*(H53))*1000000000*2</f>
        <v>0.60671764782978743</v>
      </c>
      <c r="V53" s="2"/>
      <c r="W53" s="2"/>
      <c r="X53" s="2"/>
      <c r="Y53" s="2"/>
    </row>
    <row r="54" spans="2:25">
      <c r="B54" s="415"/>
      <c r="C54" s="252"/>
      <c r="D54" s="394" t="s">
        <v>71</v>
      </c>
      <c r="E54" s="396" t="s">
        <v>92</v>
      </c>
      <c r="F54" s="248"/>
      <c r="G54" s="19" t="s">
        <v>37</v>
      </c>
      <c r="H54" s="251" t="s">
        <v>40</v>
      </c>
      <c r="I54" s="252" t="s">
        <v>66</v>
      </c>
      <c r="J54" s="10" t="s">
        <v>104</v>
      </c>
      <c r="V54" s="2"/>
      <c r="W54" s="2"/>
      <c r="X54" s="2"/>
      <c r="Y54" s="2"/>
    </row>
    <row r="55" spans="2:25">
      <c r="B55" s="11"/>
      <c r="J55" s="6"/>
      <c r="V55" s="2"/>
      <c r="W55" s="2"/>
      <c r="X55" s="2"/>
      <c r="Y55" s="2"/>
    </row>
    <row r="56" spans="2:25" ht="14.25" thickBot="1">
      <c r="B56" s="1023" t="s">
        <v>94</v>
      </c>
      <c r="C56" s="135" t="s">
        <v>68</v>
      </c>
      <c r="D56" s="422">
        <f>1000*(E53)/250</f>
        <v>7.28</v>
      </c>
      <c r="E56" s="133" t="s">
        <v>106</v>
      </c>
      <c r="F56" s="423" t="s">
        <v>296</v>
      </c>
      <c r="G56" s="274"/>
      <c r="H56" s="274"/>
      <c r="I56" s="175" t="s">
        <v>322</v>
      </c>
      <c r="J56" s="619" t="str">
        <f>IF(J53&lt;=D56,"◯","×")</f>
        <v>◯</v>
      </c>
      <c r="Y56" s="2"/>
    </row>
    <row r="57" spans="2:25">
      <c r="J57" s="3"/>
      <c r="Y57" s="2"/>
    </row>
    <row r="58" spans="2:25">
      <c r="Y58" s="2"/>
    </row>
    <row r="59" spans="2:25">
      <c r="I59" s="2"/>
      <c r="Y59" s="2"/>
    </row>
    <row r="60" spans="2:25">
      <c r="I60" s="2"/>
      <c r="Y60" s="2"/>
    </row>
    <row r="61" spans="2:25">
      <c r="I61" s="2"/>
      <c r="X61" s="2"/>
      <c r="Y61" s="2"/>
    </row>
  </sheetData>
  <sheetProtection password="C80B" sheet="1" objects="1" scenarios="1" selectLockedCells="1"/>
  <dataConsolidate/>
  <mergeCells count="18">
    <mergeCell ref="J18:K18"/>
    <mergeCell ref="K30:K31"/>
    <mergeCell ref="B11:B12"/>
    <mergeCell ref="B6:B7"/>
    <mergeCell ref="F32:G32"/>
    <mergeCell ref="B30:E30"/>
    <mergeCell ref="B31:C31"/>
    <mergeCell ref="D31:E31"/>
    <mergeCell ref="F30:G31"/>
    <mergeCell ref="C14:F15"/>
    <mergeCell ref="J19:K19"/>
    <mergeCell ref="J20:K20"/>
    <mergeCell ref="J4:K4"/>
    <mergeCell ref="J6:K6"/>
    <mergeCell ref="J13:K13"/>
    <mergeCell ref="B2:H2"/>
    <mergeCell ref="F6:H6"/>
    <mergeCell ref="F7:H7"/>
  </mergeCells>
  <phoneticPr fontId="1"/>
  <dataValidations count="6">
    <dataValidation allowBlank="1" showInputMessage="1" showErrorMessage="1" promptTitle="sei" sqref="AE17:AE22" xr:uid="{00000000-0002-0000-0900-000000000000}"/>
    <dataValidation type="list" allowBlank="1" showInputMessage="1" showErrorMessage="1" sqref="D7:E7" xr:uid="{00000000-0002-0000-0900-000001000000}">
      <formula1>$AE$21:$AE$32</formula1>
    </dataValidation>
    <dataValidation type="list" allowBlank="1" showInputMessage="1" showErrorMessage="1" sqref="C7" xr:uid="{00000000-0002-0000-0900-000002000000}">
      <formula1>$AE$21:$AE$22</formula1>
    </dataValidation>
    <dataValidation type="list" allowBlank="1" showInputMessage="1" showErrorMessage="1" sqref="E5" xr:uid="{00000000-0002-0000-0900-000003000000}">
      <formula1>$AD$17:$AD$25</formula1>
    </dataValidation>
    <dataValidation type="list" allowBlank="1" showInputMessage="1" showErrorMessage="1" sqref="C5" xr:uid="{00000000-0002-0000-0900-000004000000}">
      <formula1>$AD$30:$AD$32</formula1>
    </dataValidation>
    <dataValidation type="list" allowBlank="1" showInputMessage="1" showErrorMessage="1" sqref="C4" xr:uid="{00000000-0002-0000-0900-000005000000}">
      <formula1>$AD$26:$AD$29</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AG97"/>
  <sheetViews>
    <sheetView showGridLines="0" showRowColHeaders="0" zoomScale="130" zoomScaleNormal="130" workbookViewId="0">
      <selection activeCell="C4" sqref="C4"/>
    </sheetView>
  </sheetViews>
  <sheetFormatPr defaultRowHeight="13.5"/>
  <cols>
    <col min="1" max="1" width="1.875" customWidth="1"/>
    <col min="2" max="3" width="8.75" style="397" customWidth="1"/>
    <col min="4" max="4" width="8.875" customWidth="1"/>
    <col min="5" max="6" width="8.75" customWidth="1"/>
    <col min="7" max="7" width="9.625" customWidth="1"/>
    <col min="8" max="8" width="10.125" customWidth="1"/>
    <col min="9" max="10" width="8.75" customWidth="1"/>
    <col min="11" max="11" width="12.375" customWidth="1"/>
    <col min="12" max="12" width="10.125" customWidth="1"/>
    <col min="13" max="13" width="9.25" customWidth="1"/>
    <col min="14" max="14" width="9.75" customWidth="1"/>
    <col min="15" max="15" width="8.75" customWidth="1"/>
    <col min="16" max="16" width="7.75" customWidth="1"/>
    <col min="18" max="18" width="9.5" bestFit="1" customWidth="1"/>
    <col min="19" max="19" width="12.25" customWidth="1"/>
    <col min="20" max="21" width="9.125" bestFit="1" customWidth="1"/>
    <col min="23" max="23" width="9.125" bestFit="1" customWidth="1"/>
  </cols>
  <sheetData>
    <row r="2" spans="2:25" ht="21">
      <c r="B2" s="1210" t="s">
        <v>416</v>
      </c>
      <c r="C2" s="1211"/>
      <c r="D2" s="1211"/>
      <c r="E2" s="1211"/>
      <c r="F2" s="1153"/>
      <c r="G2" s="1153"/>
      <c r="H2" s="1310"/>
      <c r="I2" s="974" t="s">
        <v>495</v>
      </c>
      <c r="J2" s="975" t="s">
        <v>496</v>
      </c>
    </row>
    <row r="3" spans="2:25" ht="14.25" thickBot="1"/>
    <row r="4" spans="2:25">
      <c r="B4" s="179" t="s">
        <v>0</v>
      </c>
      <c r="C4" s="1096">
        <v>910</v>
      </c>
      <c r="D4" s="180" t="s">
        <v>4</v>
      </c>
      <c r="E4" s="180"/>
      <c r="F4" s="180"/>
      <c r="G4" s="180"/>
      <c r="H4" s="193"/>
      <c r="J4" s="1168" t="s">
        <v>109</v>
      </c>
      <c r="K4" s="1270"/>
      <c r="L4" s="3"/>
      <c r="M4" s="3"/>
      <c r="N4" s="3"/>
      <c r="O4" s="4"/>
    </row>
    <row r="5" spans="2:25" ht="14.25" thickBot="1">
      <c r="B5" s="68" t="s">
        <v>12</v>
      </c>
      <c r="C5" s="1097" t="s">
        <v>745</v>
      </c>
      <c r="D5" s="51" t="s">
        <v>54</v>
      </c>
      <c r="E5" s="1098" t="s">
        <v>46</v>
      </c>
      <c r="F5" s="77"/>
      <c r="G5" s="77"/>
      <c r="H5" s="34"/>
      <c r="J5" s="42"/>
      <c r="K5" s="2"/>
      <c r="L5" s="2"/>
      <c r="M5" s="2"/>
      <c r="N5" s="2"/>
      <c r="O5" s="6"/>
    </row>
    <row r="6" spans="2:25" ht="15" thickTop="1" thickBot="1">
      <c r="B6" s="1327" t="s">
        <v>13</v>
      </c>
      <c r="C6" s="818" t="s">
        <v>78</v>
      </c>
      <c r="D6" s="818" t="s">
        <v>79</v>
      </c>
      <c r="E6" s="929" t="s">
        <v>79</v>
      </c>
      <c r="F6" s="1330" t="s">
        <v>177</v>
      </c>
      <c r="G6" s="1311"/>
      <c r="H6" s="1312"/>
      <c r="I6" s="339"/>
      <c r="J6" s="1172" t="s">
        <v>110</v>
      </c>
      <c r="K6" s="1173"/>
      <c r="L6" s="2"/>
      <c r="M6" s="2"/>
      <c r="N6" s="2"/>
      <c r="O6" s="6"/>
    </row>
    <row r="7" spans="2:25" ht="14.25" thickBot="1">
      <c r="B7" s="1327"/>
      <c r="C7" s="1099">
        <v>120</v>
      </c>
      <c r="D7" s="1100">
        <v>180</v>
      </c>
      <c r="E7" s="1111">
        <v>180</v>
      </c>
      <c r="F7" s="1331" t="str">
        <f>+IF((C9*1000/MAX(C42,E42))&lt;=12,"はりせい/スパン  OK!","使用上の支障が起きないか確認要：設計変更？？")</f>
        <v>はりせい/スパン  OK!</v>
      </c>
      <c r="G7" s="1314"/>
      <c r="H7" s="1315"/>
      <c r="I7" s="339"/>
      <c r="J7" s="42"/>
      <c r="K7" s="702"/>
      <c r="L7" s="703" t="s">
        <v>114</v>
      </c>
      <c r="M7" s="703" t="s">
        <v>116</v>
      </c>
      <c r="N7" s="750" t="s">
        <v>115</v>
      </c>
      <c r="O7" s="6"/>
    </row>
    <row r="8" spans="2:25" ht="14.25" thickTop="1">
      <c r="B8" s="230"/>
      <c r="C8" s="182"/>
      <c r="D8" s="47" t="s">
        <v>479</v>
      </c>
      <c r="E8" s="928" t="s">
        <v>480</v>
      </c>
      <c r="F8" s="41"/>
      <c r="G8" s="41"/>
      <c r="H8" s="34"/>
      <c r="J8" s="797" t="s">
        <v>377</v>
      </c>
      <c r="K8" s="1128" t="s">
        <v>113</v>
      </c>
      <c r="L8" s="1077">
        <v>100</v>
      </c>
      <c r="M8" s="317"/>
      <c r="N8" s="909"/>
      <c r="O8" s="921"/>
      <c r="S8" s="2"/>
      <c r="T8" s="2"/>
      <c r="U8" s="2"/>
      <c r="V8" s="2"/>
      <c r="W8" s="2"/>
      <c r="X8" s="2"/>
      <c r="Y8" s="2"/>
    </row>
    <row r="9" spans="2:25">
      <c r="B9" s="36" t="s">
        <v>387</v>
      </c>
      <c r="C9" s="1103">
        <v>1.82</v>
      </c>
      <c r="D9" s="77" t="s">
        <v>77</v>
      </c>
      <c r="H9" s="34"/>
      <c r="J9" s="710" t="s">
        <v>112</v>
      </c>
      <c r="K9" s="1128" t="s">
        <v>117</v>
      </c>
      <c r="L9" s="1077">
        <v>100</v>
      </c>
      <c r="M9" s="723"/>
      <c r="N9" s="751"/>
      <c r="O9" s="867"/>
      <c r="S9" s="2"/>
      <c r="T9" s="2"/>
      <c r="U9" s="2"/>
      <c r="V9" s="2"/>
      <c r="W9" s="2"/>
      <c r="X9" s="2"/>
      <c r="Y9" s="2"/>
    </row>
    <row r="10" spans="2:25" ht="14.25" thickBot="1">
      <c r="B10" s="310"/>
      <c r="H10" s="34"/>
      <c r="J10" s="711"/>
      <c r="K10" s="1129" t="s">
        <v>128</v>
      </c>
      <c r="L10" s="1078">
        <v>100</v>
      </c>
      <c r="M10" s="752">
        <f>SUM(L8:L10)</f>
        <v>300</v>
      </c>
      <c r="N10" s="753">
        <f>+ROUNDUP(M10/5,-1)*5</f>
        <v>300</v>
      </c>
      <c r="O10" s="867"/>
      <c r="S10" s="2"/>
      <c r="T10" s="2"/>
      <c r="U10" s="2"/>
      <c r="V10" s="2"/>
      <c r="W10" s="2"/>
      <c r="X10" s="2"/>
      <c r="Y10" s="2"/>
    </row>
    <row r="11" spans="2:25">
      <c r="B11" s="68" t="s">
        <v>5</v>
      </c>
      <c r="C11" s="394">
        <v>2</v>
      </c>
      <c r="D11" s="77"/>
      <c r="E11" s="51" t="s">
        <v>454</v>
      </c>
      <c r="F11" s="1103">
        <v>0.4</v>
      </c>
      <c r="G11" s="886"/>
      <c r="H11" s="887"/>
      <c r="J11" s="711"/>
      <c r="K11" s="580" t="s">
        <v>111</v>
      </c>
      <c r="L11" s="77" t="s">
        <v>127</v>
      </c>
      <c r="M11" s="77"/>
      <c r="N11" s="77"/>
      <c r="O11" s="867"/>
      <c r="S11" s="2"/>
      <c r="T11" s="2"/>
      <c r="U11" s="2"/>
      <c r="V11" s="2"/>
      <c r="W11" s="2"/>
      <c r="X11" s="2"/>
      <c r="Y11" s="2"/>
    </row>
    <row r="12" spans="2:25">
      <c r="B12" s="1325" t="s">
        <v>107</v>
      </c>
      <c r="C12" s="906" t="s">
        <v>96</v>
      </c>
      <c r="D12" s="859" t="s">
        <v>90</v>
      </c>
      <c r="E12" s="859" t="s">
        <v>103</v>
      </c>
      <c r="F12" s="45"/>
      <c r="G12" s="888"/>
      <c r="H12" s="887"/>
      <c r="J12" s="42"/>
      <c r="K12" s="2"/>
      <c r="L12" s="2"/>
      <c r="M12" s="2"/>
      <c r="N12" s="2"/>
      <c r="O12" s="867"/>
      <c r="S12" s="2"/>
      <c r="T12" s="2"/>
      <c r="U12" s="2"/>
      <c r="V12" s="2"/>
      <c r="W12" s="2"/>
      <c r="X12" s="2"/>
      <c r="Y12" s="2"/>
    </row>
    <row r="13" spans="2:25" ht="15" customHeight="1">
      <c r="B13" s="1326"/>
      <c r="C13" s="1088">
        <v>1</v>
      </c>
      <c r="D13" s="1087">
        <v>1</v>
      </c>
      <c r="E13" s="1087">
        <v>1</v>
      </c>
      <c r="F13" s="395"/>
      <c r="G13" s="1328" t="s">
        <v>401</v>
      </c>
      <c r="H13" s="1329"/>
      <c r="J13" s="1172" t="s">
        <v>120</v>
      </c>
      <c r="K13" s="1265"/>
      <c r="L13" s="77"/>
      <c r="M13" s="77"/>
      <c r="N13" s="77"/>
      <c r="O13" s="6"/>
      <c r="S13" s="2"/>
      <c r="T13" s="2"/>
      <c r="U13" s="2"/>
      <c r="V13" s="2"/>
      <c r="W13" s="2"/>
      <c r="X13" s="2"/>
      <c r="Y13" s="2"/>
    </row>
    <row r="14" spans="2:25" ht="14.25" thickBot="1">
      <c r="B14" s="925" t="s">
        <v>7</v>
      </c>
      <c r="C14" s="225">
        <f>IF(C42&gt;300,(300/C42)^(1/9),1)</f>
        <v>1</v>
      </c>
      <c r="D14" s="51"/>
      <c r="G14" s="882" t="s">
        <v>402</v>
      </c>
      <c r="H14" s="922" t="s">
        <v>403</v>
      </c>
      <c r="J14" s="42"/>
      <c r="K14" s="692"/>
      <c r="L14" s="684"/>
      <c r="M14" s="684"/>
      <c r="N14" s="28" t="s">
        <v>450</v>
      </c>
      <c r="O14" s="6"/>
      <c r="S14" s="2"/>
      <c r="T14" s="2"/>
      <c r="U14" s="2"/>
      <c r="V14" s="2"/>
      <c r="W14" s="2"/>
      <c r="X14" s="2"/>
      <c r="Y14" s="2"/>
    </row>
    <row r="15" spans="2:25">
      <c r="B15" s="230"/>
      <c r="C15" s="84"/>
      <c r="D15" s="77"/>
      <c r="E15" s="77"/>
      <c r="F15" s="77"/>
      <c r="G15" s="1077">
        <v>910</v>
      </c>
      <c r="H15" s="1112">
        <v>0</v>
      </c>
      <c r="J15" s="711"/>
      <c r="K15" s="706" t="s">
        <v>453</v>
      </c>
      <c r="L15" s="1079">
        <v>1800</v>
      </c>
      <c r="M15" s="51"/>
      <c r="N15" s="28" t="s">
        <v>453</v>
      </c>
      <c r="O15" s="698">
        <v>1800</v>
      </c>
      <c r="S15" s="2"/>
      <c r="T15" s="2"/>
      <c r="U15" s="2"/>
      <c r="V15" s="2"/>
      <c r="W15" s="2"/>
      <c r="X15" s="2"/>
      <c r="Y15" s="2"/>
    </row>
    <row r="16" spans="2:25" ht="14.25" thickBot="1">
      <c r="B16" s="68" t="s">
        <v>180</v>
      </c>
      <c r="C16" s="1321" t="s">
        <v>405</v>
      </c>
      <c r="D16" s="1310"/>
      <c r="E16" s="1310"/>
      <c r="F16" s="1310"/>
      <c r="G16" s="439" t="s">
        <v>404</v>
      </c>
      <c r="H16" s="439" t="s">
        <v>404</v>
      </c>
      <c r="I16" s="42"/>
      <c r="J16" s="711"/>
      <c r="K16" s="708" t="s">
        <v>122</v>
      </c>
      <c r="L16" s="1080">
        <v>600</v>
      </c>
      <c r="M16" s="51" t="s">
        <v>121</v>
      </c>
      <c r="N16" s="28" t="s">
        <v>122</v>
      </c>
      <c r="O16" s="698">
        <v>600</v>
      </c>
      <c r="S16" s="2"/>
      <c r="T16" s="2"/>
      <c r="U16" s="2"/>
      <c r="V16" s="2"/>
      <c r="W16" s="2"/>
      <c r="X16" s="2"/>
      <c r="Y16" s="2"/>
    </row>
    <row r="17" spans="2:33" ht="14.25" thickBot="1">
      <c r="B17" s="823"/>
      <c r="C17" s="1310"/>
      <c r="D17" s="1310"/>
      <c r="E17" s="1310"/>
      <c r="F17" s="1310"/>
      <c r="G17" s="77"/>
      <c r="H17" s="77"/>
      <c r="I17" s="5"/>
      <c r="J17" s="765"/>
      <c r="K17" s="14"/>
      <c r="L17" s="14"/>
      <c r="M17" s="14"/>
      <c r="N17" s="14"/>
      <c r="O17" s="15"/>
      <c r="S17" s="2"/>
      <c r="T17" s="2"/>
      <c r="U17" s="2"/>
      <c r="V17" s="2"/>
      <c r="W17" s="2"/>
      <c r="X17" s="441"/>
      <c r="Y17" s="2"/>
      <c r="AD17" s="1044" t="s">
        <v>46</v>
      </c>
      <c r="AE17" s="1018">
        <v>45</v>
      </c>
      <c r="AF17" s="1046">
        <v>1</v>
      </c>
      <c r="AG17" s="1046"/>
    </row>
    <row r="18" spans="2:33">
      <c r="B18" s="331" t="s">
        <v>263</v>
      </c>
      <c r="C18" s="337" t="s">
        <v>221</v>
      </c>
      <c r="D18" s="3"/>
      <c r="E18" s="180"/>
      <c r="F18" s="180"/>
      <c r="G18" s="180"/>
      <c r="H18" s="193"/>
      <c r="I18" s="42"/>
      <c r="J18" s="1316" t="s">
        <v>399</v>
      </c>
      <c r="K18" s="1317"/>
      <c r="L18" s="912" t="s">
        <v>124</v>
      </c>
      <c r="M18" s="926" t="s">
        <v>400</v>
      </c>
      <c r="N18" s="914"/>
      <c r="O18" s="920"/>
      <c r="S18" s="2"/>
      <c r="T18" s="2"/>
      <c r="U18" s="2"/>
      <c r="V18" s="2"/>
      <c r="W18" s="2"/>
      <c r="X18" s="2"/>
      <c r="Y18" s="2"/>
      <c r="AD18" s="1045" t="s">
        <v>45</v>
      </c>
      <c r="AE18" s="1018">
        <v>60</v>
      </c>
      <c r="AF18" s="1046">
        <v>2</v>
      </c>
      <c r="AG18" s="1046"/>
    </row>
    <row r="19" spans="2:33">
      <c r="B19" s="230"/>
      <c r="C19" s="182"/>
      <c r="D19" s="429" t="s">
        <v>389</v>
      </c>
      <c r="E19" s="231">
        <f>(F11)*(C7)*(D7)*9.8/1000</f>
        <v>84.671999999999997</v>
      </c>
      <c r="F19" s="430" t="s">
        <v>396</v>
      </c>
      <c r="G19" s="77"/>
      <c r="I19" s="42"/>
      <c r="J19" s="1322" t="s">
        <v>385</v>
      </c>
      <c r="K19" s="1229"/>
      <c r="L19" s="313">
        <f>N10</f>
        <v>300</v>
      </c>
      <c r="M19" s="918">
        <f>L15</f>
        <v>1800</v>
      </c>
      <c r="N19" s="915">
        <f>(L19)+(M19)</f>
        <v>2100</v>
      </c>
      <c r="O19" s="462"/>
      <c r="S19" s="2"/>
      <c r="T19" s="2"/>
      <c r="U19" s="2"/>
      <c r="V19" s="2"/>
      <c r="W19" s="2"/>
      <c r="X19" s="2"/>
      <c r="Y19" s="2"/>
      <c r="AD19" s="1045" t="s">
        <v>47</v>
      </c>
      <c r="AE19" s="1018">
        <v>75</v>
      </c>
      <c r="AF19" s="1046">
        <v>3</v>
      </c>
      <c r="AG19" s="1046"/>
    </row>
    <row r="20" spans="2:33" ht="14.25" thickBot="1">
      <c r="B20" s="230"/>
      <c r="C20" s="182"/>
      <c r="D20" s="431" t="s">
        <v>82</v>
      </c>
      <c r="E20" s="194">
        <v>0</v>
      </c>
      <c r="F20" s="432" t="s">
        <v>396</v>
      </c>
      <c r="G20" s="428" t="s">
        <v>84</v>
      </c>
      <c r="I20" s="5"/>
      <c r="J20" s="1323" t="s">
        <v>386</v>
      </c>
      <c r="K20" s="1324"/>
      <c r="L20" s="913">
        <f>N10</f>
        <v>300</v>
      </c>
      <c r="M20" s="919">
        <f>L16</f>
        <v>600</v>
      </c>
      <c r="N20" s="916">
        <f>(L20)+(M20)</f>
        <v>900</v>
      </c>
      <c r="O20" s="949" t="s">
        <v>299</v>
      </c>
      <c r="S20" s="2"/>
      <c r="T20" s="2"/>
      <c r="U20" s="2"/>
      <c r="V20" s="2"/>
      <c r="W20" s="2"/>
      <c r="X20" s="2"/>
      <c r="Y20" s="2"/>
      <c r="AD20" s="1045" t="s">
        <v>48</v>
      </c>
      <c r="AE20" s="1018">
        <v>90</v>
      </c>
      <c r="AF20" s="1046">
        <v>4</v>
      </c>
      <c r="AG20" s="1046"/>
    </row>
    <row r="21" spans="2:33">
      <c r="B21" s="68"/>
      <c r="C21" s="182"/>
      <c r="D21" s="431" t="s">
        <v>375</v>
      </c>
      <c r="E21" s="194">
        <v>0</v>
      </c>
      <c r="F21" s="432" t="s">
        <v>396</v>
      </c>
      <c r="G21" s="41"/>
      <c r="H21" s="34"/>
      <c r="I21" s="42"/>
      <c r="S21" s="2"/>
      <c r="T21" s="2"/>
      <c r="U21" s="2"/>
      <c r="V21" s="2"/>
      <c r="W21" s="2"/>
      <c r="X21" s="2"/>
      <c r="Y21" s="2"/>
      <c r="AD21" s="1045" t="s">
        <v>49</v>
      </c>
      <c r="AE21" s="1018">
        <v>105</v>
      </c>
      <c r="AF21" s="1046">
        <v>5</v>
      </c>
      <c r="AG21" s="1046"/>
    </row>
    <row r="22" spans="2:33">
      <c r="B22" s="693"/>
      <c r="C22" s="182"/>
      <c r="D22" s="434" t="s">
        <v>281</v>
      </c>
      <c r="E22" s="433">
        <f>SUM(E19:E21)</f>
        <v>84.671999999999997</v>
      </c>
      <c r="F22" s="432" t="s">
        <v>396</v>
      </c>
      <c r="H22" s="34"/>
      <c r="I22" s="42"/>
      <c r="S22" s="2"/>
      <c r="T22" s="2"/>
      <c r="U22" s="2"/>
      <c r="V22" s="2"/>
      <c r="W22" s="2"/>
      <c r="X22" s="2"/>
      <c r="Y22" s="2"/>
      <c r="AD22" s="1045" t="s">
        <v>50</v>
      </c>
      <c r="AE22" s="1018">
        <v>120</v>
      </c>
      <c r="AF22" s="1046">
        <v>6</v>
      </c>
      <c r="AG22" s="1046"/>
    </row>
    <row r="23" spans="2:33">
      <c r="B23" s="693"/>
      <c r="C23" s="618"/>
      <c r="D23" s="429" t="s">
        <v>389</v>
      </c>
      <c r="E23" s="231">
        <f>(F11)*(C7)*(E7)*9.8/1000</f>
        <v>84.671999999999997</v>
      </c>
      <c r="F23" s="430" t="s">
        <v>396</v>
      </c>
      <c r="G23" s="77"/>
      <c r="H23" s="6"/>
      <c r="I23" s="42"/>
      <c r="X23" s="2"/>
      <c r="AD23" s="1045" t="s">
        <v>51</v>
      </c>
      <c r="AE23" s="1046">
        <v>135</v>
      </c>
      <c r="AF23" s="1046">
        <v>7</v>
      </c>
      <c r="AG23" s="1046"/>
    </row>
    <row r="24" spans="2:33">
      <c r="B24" s="68"/>
      <c r="C24" s="618"/>
      <c r="D24" s="431" t="s">
        <v>82</v>
      </c>
      <c r="E24" s="438">
        <v>0</v>
      </c>
      <c r="F24" s="432" t="s">
        <v>396</v>
      </c>
      <c r="G24" s="567" t="s">
        <v>390</v>
      </c>
      <c r="H24" s="6"/>
      <c r="I24" s="42"/>
      <c r="X24" s="2"/>
      <c r="AD24" s="1045" t="s">
        <v>52</v>
      </c>
      <c r="AE24" s="1046">
        <v>150</v>
      </c>
      <c r="AF24" s="1046">
        <v>8</v>
      </c>
      <c r="AG24" s="1046"/>
    </row>
    <row r="25" spans="2:33">
      <c r="B25" s="230"/>
      <c r="C25" s="618"/>
      <c r="D25" s="431" t="s">
        <v>375</v>
      </c>
      <c r="E25" s="438">
        <f>E21</f>
        <v>0</v>
      </c>
      <c r="F25" s="432" t="s">
        <v>396</v>
      </c>
      <c r="G25" s="41"/>
      <c r="H25" s="6"/>
      <c r="I25" s="42"/>
      <c r="J25" s="2"/>
      <c r="K25" s="2"/>
      <c r="X25" s="2"/>
      <c r="AD25" s="1045" t="s">
        <v>53</v>
      </c>
      <c r="AE25" s="1046">
        <v>180</v>
      </c>
      <c r="AF25" s="1046">
        <v>9</v>
      </c>
      <c r="AG25" s="1046"/>
    </row>
    <row r="26" spans="2:33" ht="13.5" customHeight="1" thickBot="1">
      <c r="B26" s="230"/>
      <c r="C26" s="618"/>
      <c r="D26" s="435" t="s">
        <v>281</v>
      </c>
      <c r="E26" s="436">
        <f>SUM(E23:E25)</f>
        <v>84.671999999999997</v>
      </c>
      <c r="F26" s="437" t="s">
        <v>396</v>
      </c>
      <c r="H26" s="6"/>
      <c r="X26" s="2"/>
      <c r="AD26" s="1047">
        <v>910</v>
      </c>
      <c r="AE26" s="1046">
        <v>210</v>
      </c>
      <c r="AF26" s="1020">
        <v>1</v>
      </c>
      <c r="AG26" s="1046"/>
    </row>
    <row r="27" spans="2:33" ht="14.25" thickBot="1">
      <c r="B27" s="68"/>
      <c r="C27" s="618"/>
      <c r="H27" s="6"/>
      <c r="AD27" s="1047">
        <v>950</v>
      </c>
      <c r="AE27" s="1046">
        <v>240</v>
      </c>
      <c r="AF27" s="1020">
        <v>1.1499999999999999</v>
      </c>
      <c r="AG27" s="1046"/>
    </row>
    <row r="28" spans="2:33" ht="12" customHeight="1">
      <c r="B28" s="68"/>
      <c r="C28" s="327" t="s">
        <v>143</v>
      </c>
      <c r="D28" s="328"/>
      <c r="E28" s="329"/>
      <c r="F28" s="460"/>
      <c r="G28" s="329"/>
      <c r="H28" s="330"/>
      <c r="AD28" s="1047">
        <v>1000</v>
      </c>
      <c r="AE28" s="1046">
        <v>270</v>
      </c>
      <c r="AF28" s="1020">
        <v>1.25</v>
      </c>
      <c r="AG28" s="1046"/>
    </row>
    <row r="29" spans="2:33">
      <c r="B29" s="11"/>
      <c r="C29" s="456" t="s">
        <v>276</v>
      </c>
      <c r="D29" s="463" t="s">
        <v>409</v>
      </c>
      <c r="E29" s="1113">
        <v>1820</v>
      </c>
      <c r="F29" s="461" t="s">
        <v>408</v>
      </c>
      <c r="G29" s="1077">
        <v>1000</v>
      </c>
      <c r="H29" s="462" t="s">
        <v>354</v>
      </c>
      <c r="AD29" s="1047">
        <v>985</v>
      </c>
      <c r="AE29" s="1046">
        <v>300</v>
      </c>
      <c r="AF29" s="1060" t="s">
        <v>168</v>
      </c>
      <c r="AG29" s="1061">
        <f>(C4)/1000*2</f>
        <v>1.82</v>
      </c>
    </row>
    <row r="30" spans="2:33">
      <c r="B30" s="230"/>
      <c r="C30" s="618"/>
      <c r="D30" s="463" t="s">
        <v>410</v>
      </c>
      <c r="E30" s="1113">
        <v>1820</v>
      </c>
      <c r="F30" s="461" t="s">
        <v>408</v>
      </c>
      <c r="G30" s="1077">
        <v>1000</v>
      </c>
      <c r="H30" s="462" t="s">
        <v>354</v>
      </c>
      <c r="AD30" s="1047" t="s">
        <v>734</v>
      </c>
      <c r="AE30" s="1046">
        <v>330</v>
      </c>
      <c r="AF30" s="1060" t="s">
        <v>719</v>
      </c>
      <c r="AG30" s="1061">
        <f>(C4)/1000*3</f>
        <v>2.73</v>
      </c>
    </row>
    <row r="31" spans="2:33">
      <c r="B31" s="230"/>
      <c r="C31" s="618"/>
      <c r="E31" s="457" t="s">
        <v>144</v>
      </c>
      <c r="F31" s="458" t="s">
        <v>369</v>
      </c>
      <c r="G31" s="52"/>
      <c r="H31" s="6"/>
      <c r="AD31" s="1048" t="s">
        <v>724</v>
      </c>
      <c r="AE31" s="1046">
        <v>360</v>
      </c>
      <c r="AF31" s="1060" t="s">
        <v>735</v>
      </c>
      <c r="AG31" s="1061">
        <f>(C4)/1000*4</f>
        <v>3.64</v>
      </c>
    </row>
    <row r="32" spans="2:33">
      <c r="B32" s="230"/>
      <c r="C32" s="1337" t="s">
        <v>275</v>
      </c>
      <c r="D32" s="1338"/>
      <c r="E32" s="459">
        <f>G15</f>
        <v>910</v>
      </c>
      <c r="F32" s="459">
        <f>H15</f>
        <v>0</v>
      </c>
      <c r="H32" s="6"/>
      <c r="AD32" s="1048" t="s">
        <v>736</v>
      </c>
      <c r="AE32" s="1046">
        <v>390</v>
      </c>
      <c r="AF32" s="1060" t="s">
        <v>721</v>
      </c>
      <c r="AG32" s="1061">
        <f>(C4)/1000*4</f>
        <v>3.64</v>
      </c>
    </row>
    <row r="33" spans="2:33">
      <c r="B33" s="310"/>
      <c r="C33" s="1339" t="s">
        <v>411</v>
      </c>
      <c r="D33" s="1338"/>
      <c r="E33" s="464">
        <f>(N19)*(E29)*(G29)/10^6</f>
        <v>3822</v>
      </c>
      <c r="F33" s="464">
        <f>(N19)*(E30)*(G30)/10^6</f>
        <v>3822</v>
      </c>
      <c r="G33" s="45" t="s">
        <v>271</v>
      </c>
      <c r="H33" s="6"/>
      <c r="K33" t="s">
        <v>397</v>
      </c>
      <c r="O33" s="41" t="s">
        <v>406</v>
      </c>
      <c r="Q33" s="41" t="s">
        <v>407</v>
      </c>
      <c r="AD33" s="1046" t="s">
        <v>183</v>
      </c>
      <c r="AE33" s="1060" t="s">
        <v>189</v>
      </c>
      <c r="AF33" s="1046"/>
      <c r="AG33" s="1046"/>
    </row>
    <row r="34" spans="2:33" ht="14.25" thickBot="1">
      <c r="B34" s="367"/>
      <c r="C34" s="1340" t="s">
        <v>412</v>
      </c>
      <c r="D34" s="1341"/>
      <c r="E34" s="464">
        <f>(N20)*(E29)*(G29)/10^6</f>
        <v>1638</v>
      </c>
      <c r="F34" s="464">
        <f>(N20)*(E30)*(G30)/10^6</f>
        <v>1638</v>
      </c>
      <c r="G34" s="45" t="s">
        <v>271</v>
      </c>
      <c r="H34" s="15"/>
      <c r="I34" s="2"/>
      <c r="AD34" s="1046" t="s">
        <v>184</v>
      </c>
      <c r="AE34" s="1060" t="s">
        <v>190</v>
      </c>
      <c r="AF34" s="1046"/>
      <c r="AG34" s="1046"/>
    </row>
    <row r="35" spans="2:33">
      <c r="B35" s="902"/>
      <c r="C35" s="903" t="s">
        <v>101</v>
      </c>
      <c r="D35" s="904" t="s">
        <v>100</v>
      </c>
      <c r="E35" s="904" t="s">
        <v>102</v>
      </c>
      <c r="F35" s="927"/>
      <c r="G35" s="180"/>
      <c r="H35" s="193"/>
      <c r="I35" s="2"/>
      <c r="AD35" s="1046" t="s">
        <v>185</v>
      </c>
      <c r="AE35" s="1062" t="s">
        <v>726</v>
      </c>
      <c r="AF35" s="1046"/>
      <c r="AG35" s="1046"/>
    </row>
    <row r="36" spans="2:33">
      <c r="B36" s="725" t="s">
        <v>15</v>
      </c>
      <c r="C36" s="843"/>
      <c r="D36" s="841">
        <f>(C7)*(C42)*(C13)</f>
        <v>21600</v>
      </c>
      <c r="E36" s="844"/>
      <c r="F36" s="794" t="s">
        <v>11</v>
      </c>
      <c r="G36" s="77"/>
      <c r="H36" s="34"/>
      <c r="I36" s="2"/>
      <c r="AD36" s="1046" t="s">
        <v>186</v>
      </c>
      <c r="AE36" s="1062" t="s">
        <v>727</v>
      </c>
      <c r="AF36" s="1046"/>
      <c r="AG36" s="1046"/>
    </row>
    <row r="37" spans="2:33">
      <c r="B37" s="725" t="s">
        <v>14</v>
      </c>
      <c r="C37" s="842">
        <f>(D13)*((C7)*(C42)^2)/6</f>
        <v>648000</v>
      </c>
      <c r="D37" s="844"/>
      <c r="E37" s="844"/>
      <c r="F37" s="794" t="s">
        <v>38</v>
      </c>
      <c r="G37" s="77"/>
      <c r="H37" s="34"/>
      <c r="I37" s="2"/>
    </row>
    <row r="38" spans="2:33">
      <c r="B38" s="725" t="s">
        <v>10</v>
      </c>
      <c r="C38" s="843"/>
      <c r="D38" s="844"/>
      <c r="E38" s="842">
        <f>(E13)*((C7)*(E42)^3)/12</f>
        <v>58320000</v>
      </c>
      <c r="F38" s="794" t="s">
        <v>39</v>
      </c>
      <c r="G38" s="77"/>
      <c r="H38" s="34"/>
      <c r="I38" s="42"/>
    </row>
    <row r="39" spans="2:33" ht="14.25" thickBot="1">
      <c r="B39" s="230"/>
      <c r="C39" s="182"/>
      <c r="D39" s="41"/>
      <c r="E39" s="41"/>
      <c r="F39" s="77"/>
      <c r="G39" s="77"/>
      <c r="H39" s="192"/>
      <c r="I39" s="42"/>
    </row>
    <row r="40" spans="2:33" ht="15" thickTop="1" thickBot="1">
      <c r="B40" s="1289" t="s">
        <v>73</v>
      </c>
      <c r="C40" s="1309"/>
      <c r="D40" s="1309"/>
      <c r="E40" s="1309"/>
      <c r="F40" s="1284" t="s">
        <v>242</v>
      </c>
      <c r="G40" s="1306"/>
      <c r="H40" s="634"/>
      <c r="I40" s="2"/>
    </row>
    <row r="41" spans="2:33" ht="14.25" thickBot="1">
      <c r="B41" s="1293" t="s">
        <v>44</v>
      </c>
      <c r="C41" s="1307"/>
      <c r="D41" s="1282" t="s">
        <v>43</v>
      </c>
      <c r="E41" s="1307"/>
      <c r="F41" s="1307"/>
      <c r="G41" s="1308"/>
      <c r="H41" s="345"/>
      <c r="I41" s="2"/>
    </row>
    <row r="42" spans="2:33" ht="14.25" thickBot="1">
      <c r="B42" s="849">
        <f>C7</f>
        <v>120</v>
      </c>
      <c r="C42" s="850">
        <f>D7</f>
        <v>180</v>
      </c>
      <c r="D42" s="847">
        <f>C7</f>
        <v>120</v>
      </c>
      <c r="E42" s="848">
        <f>E7</f>
        <v>180</v>
      </c>
      <c r="F42" s="1287">
        <f>E76</f>
        <v>1988.05152</v>
      </c>
      <c r="G42" s="1296"/>
      <c r="H42" s="686"/>
      <c r="I42" s="2"/>
    </row>
    <row r="43" spans="2:33" ht="15" thickTop="1" thickBot="1">
      <c r="I43" s="2"/>
      <c r="X43" s="2"/>
    </row>
    <row r="44" spans="2:33">
      <c r="B44" s="617" t="s">
        <v>445</v>
      </c>
      <c r="C44" s="911" t="s">
        <v>231</v>
      </c>
      <c r="D44" s="637" t="str">
        <f>(J67)</f>
        <v>◯</v>
      </c>
      <c r="E44" s="1334" t="s">
        <v>44</v>
      </c>
      <c r="F44" s="1335"/>
    </row>
    <row r="45" spans="2:33">
      <c r="B45" s="2"/>
      <c r="C45" s="621" t="s">
        <v>321</v>
      </c>
      <c r="D45" s="623" t="str">
        <f>(J81)</f>
        <v>×</v>
      </c>
      <c r="E45" s="1231"/>
      <c r="F45" s="1336"/>
    </row>
    <row r="46" spans="2:33" ht="14.25" thickBot="1">
      <c r="B46" s="2"/>
      <c r="C46" s="622" t="s">
        <v>343</v>
      </c>
      <c r="D46" s="625" t="str">
        <f>(J97)</f>
        <v>◯</v>
      </c>
      <c r="E46" s="1332" t="s">
        <v>43</v>
      </c>
      <c r="F46" s="1333"/>
    </row>
    <row r="47" spans="2:33">
      <c r="I47" s="2"/>
      <c r="J47" s="2"/>
    </row>
    <row r="48" spans="2:33" ht="14.25" thickBot="1">
      <c r="I48" s="2"/>
      <c r="J48" s="2"/>
    </row>
    <row r="49" spans="2:11">
      <c r="B49" s="297" t="s">
        <v>231</v>
      </c>
      <c r="C49" s="206"/>
      <c r="D49" s="241"/>
      <c r="E49" s="241"/>
      <c r="F49" s="241"/>
      <c r="G49" s="241"/>
      <c r="H49" s="241"/>
      <c r="I49" s="467"/>
      <c r="J49" s="242"/>
      <c r="K49" s="248"/>
    </row>
    <row r="50" spans="2:11">
      <c r="B50" s="466" t="s">
        <v>448</v>
      </c>
      <c r="C50" s="244"/>
      <c r="D50" s="245"/>
      <c r="E50" s="245"/>
      <c r="F50" s="245"/>
      <c r="G50" s="245"/>
      <c r="H50" s="245"/>
      <c r="J50" s="246"/>
      <c r="K50" s="248"/>
    </row>
    <row r="51" spans="2:11">
      <c r="B51" s="466" t="s">
        <v>221</v>
      </c>
      <c r="C51" s="890" t="s">
        <v>646</v>
      </c>
      <c r="D51" s="1064" t="s">
        <v>737</v>
      </c>
      <c r="E51" s="88">
        <f>E22</f>
        <v>84.671999999999997</v>
      </c>
      <c r="F51" s="118">
        <f>($C$9)</f>
        <v>1.82</v>
      </c>
      <c r="G51" s="19" t="s">
        <v>88</v>
      </c>
      <c r="H51" s="125">
        <f>((E51)*(F51)*(F51))/8</f>
        <v>35.058441600000002</v>
      </c>
      <c r="I51" s="19" t="s">
        <v>91</v>
      </c>
      <c r="J51" s="6"/>
      <c r="K51" s="465"/>
    </row>
    <row r="52" spans="2:11">
      <c r="B52" s="243"/>
      <c r="C52" s="244"/>
      <c r="D52" s="247"/>
      <c r="E52" s="17" t="s">
        <v>18</v>
      </c>
      <c r="F52" s="446" t="s">
        <v>92</v>
      </c>
      <c r="G52" s="248"/>
      <c r="H52" s="248"/>
      <c r="J52" s="246"/>
      <c r="K52" s="248"/>
    </row>
    <row r="53" spans="2:11">
      <c r="B53" s="468" t="s">
        <v>143</v>
      </c>
      <c r="C53" s="257"/>
      <c r="D53" s="257"/>
      <c r="E53" s="257"/>
      <c r="F53" s="257"/>
      <c r="G53" s="257"/>
      <c r="H53" s="257"/>
      <c r="I53" s="257"/>
      <c r="J53" s="258"/>
    </row>
    <row r="54" spans="2:11">
      <c r="B54" s="68" t="s">
        <v>144</v>
      </c>
      <c r="C54" s="92"/>
      <c r="D54" s="92"/>
      <c r="E54" s="152" t="s">
        <v>145</v>
      </c>
      <c r="F54" s="19" t="s">
        <v>152</v>
      </c>
      <c r="G54" s="19"/>
      <c r="H54" s="19"/>
      <c r="I54" s="19"/>
      <c r="J54" s="246"/>
    </row>
    <row r="55" spans="2:11">
      <c r="B55" s="469"/>
      <c r="C55" s="117" t="s">
        <v>584</v>
      </c>
      <c r="D55" s="102" t="s">
        <v>146</v>
      </c>
      <c r="E55" s="45">
        <f>E32/1000</f>
        <v>0.91</v>
      </c>
      <c r="F55" s="19" t="s">
        <v>150</v>
      </c>
      <c r="G55" s="19"/>
      <c r="H55" s="138">
        <f>(E33)*(E32)/1000*(C9-(E32)/1000)/(C9)</f>
        <v>1739.01</v>
      </c>
      <c r="I55" s="19" t="s">
        <v>91</v>
      </c>
      <c r="J55" s="246"/>
    </row>
    <row r="56" spans="2:11">
      <c r="B56" s="68" t="s">
        <v>147</v>
      </c>
      <c r="C56" s="153"/>
      <c r="D56" s="92"/>
      <c r="E56" s="152" t="s">
        <v>145</v>
      </c>
      <c r="F56" s="19" t="s">
        <v>153</v>
      </c>
      <c r="G56" s="19"/>
      <c r="H56" s="19"/>
      <c r="I56" s="92"/>
      <c r="J56" s="246"/>
    </row>
    <row r="57" spans="2:11">
      <c r="B57" s="469"/>
      <c r="C57" s="117" t="s">
        <v>585</v>
      </c>
      <c r="D57" s="102" t="s">
        <v>148</v>
      </c>
      <c r="E57" s="152">
        <f>F32/1000</f>
        <v>0</v>
      </c>
      <c r="F57" s="19" t="s">
        <v>151</v>
      </c>
      <c r="G57" s="19"/>
      <c r="H57" s="138">
        <f>(F33)*(F32)/1000*(C9-(F32)/1000)/(C9)</f>
        <v>0</v>
      </c>
      <c r="I57" s="19" t="s">
        <v>91</v>
      </c>
      <c r="J57" s="246"/>
    </row>
    <row r="58" spans="2:11">
      <c r="B58" s="68" t="s">
        <v>149</v>
      </c>
      <c r="C58" s="444"/>
      <c r="D58" s="32"/>
      <c r="E58" s="33"/>
      <c r="F58" s="248"/>
      <c r="G58" s="248"/>
      <c r="H58" s="248"/>
      <c r="I58" s="248"/>
      <c r="J58" s="246"/>
    </row>
    <row r="59" spans="2:11">
      <c r="B59" s="243"/>
      <c r="C59" s="60" t="s">
        <v>586</v>
      </c>
      <c r="D59" s="60" t="s">
        <v>647</v>
      </c>
      <c r="E59" s="154">
        <f>IF(E55&gt;=E57,(C9-E55),E55)</f>
        <v>0.91</v>
      </c>
      <c r="F59" s="19">
        <f>IF(E55&gt;=E57,C9-E57,E57)</f>
        <v>1.82</v>
      </c>
      <c r="G59" s="155" t="s">
        <v>154</v>
      </c>
      <c r="H59" s="138">
        <f>(H55)+(H57)*(E59)/(F59)</f>
        <v>1739.01</v>
      </c>
      <c r="I59" s="19" t="s">
        <v>91</v>
      </c>
      <c r="J59" s="89"/>
    </row>
    <row r="60" spans="2:11">
      <c r="B60" s="68" t="s">
        <v>155</v>
      </c>
      <c r="C60" s="444"/>
      <c r="D60" s="40"/>
      <c r="E60" s="152"/>
      <c r="F60" s="19"/>
      <c r="G60" s="19"/>
      <c r="H60" s="19"/>
      <c r="I60" s="19"/>
      <c r="J60" s="1005">
        <f>MAX(H59,H61)</f>
        <v>1739.01</v>
      </c>
    </row>
    <row r="61" spans="2:11">
      <c r="B61" s="470"/>
      <c r="C61" s="60" t="s">
        <v>588</v>
      </c>
      <c r="D61" s="60" t="s">
        <v>648</v>
      </c>
      <c r="E61" s="154">
        <f>IF(H57=0,0,C9-F59)</f>
        <v>0</v>
      </c>
      <c r="F61" s="159">
        <f>C9-E61</f>
        <v>1.82</v>
      </c>
      <c r="G61" s="155" t="s">
        <v>154</v>
      </c>
      <c r="H61" s="19">
        <f>IF(H57=0,0,(H57)+(H55)*(E61)/(F61))</f>
        <v>0</v>
      </c>
      <c r="I61" s="19" t="s">
        <v>91</v>
      </c>
      <c r="J61" s="89"/>
    </row>
    <row r="62" spans="2:11">
      <c r="B62" s="68" t="s">
        <v>157</v>
      </c>
      <c r="C62" s="445"/>
      <c r="D62" s="158">
        <f>H51+(J60)</f>
        <v>1774.0684415999999</v>
      </c>
      <c r="E62" s="51" t="s">
        <v>91</v>
      </c>
      <c r="F62" s="472"/>
      <c r="G62" s="248"/>
      <c r="H62" s="248"/>
      <c r="I62" s="248"/>
      <c r="J62" s="246"/>
    </row>
    <row r="63" spans="2:11">
      <c r="B63" s="470"/>
      <c r="C63" s="17"/>
      <c r="D63" s="446"/>
      <c r="E63" s="248"/>
      <c r="F63" s="248"/>
      <c r="G63" s="248"/>
      <c r="H63" s="248"/>
      <c r="I63" s="248"/>
      <c r="J63" s="246"/>
    </row>
    <row r="64" spans="2:11">
      <c r="B64" s="243" t="s">
        <v>9</v>
      </c>
      <c r="C64" s="60" t="s">
        <v>581</v>
      </c>
      <c r="D64" s="60" t="s">
        <v>590</v>
      </c>
      <c r="E64" s="19" t="s">
        <v>21</v>
      </c>
      <c r="F64" s="159">
        <f>((D62)*1000)/(C37)</f>
        <v>2.7377599407407409</v>
      </c>
      <c r="G64" s="19" t="s">
        <v>20</v>
      </c>
      <c r="H64" s="19"/>
      <c r="I64" s="19"/>
      <c r="J64" s="246"/>
    </row>
    <row r="65" spans="2:12">
      <c r="B65" s="243"/>
      <c r="C65" s="448"/>
      <c r="D65" s="19"/>
      <c r="E65" s="19"/>
      <c r="F65" s="19"/>
      <c r="G65" s="448"/>
      <c r="H65" s="19"/>
      <c r="I65" s="19"/>
      <c r="J65" s="246"/>
    </row>
    <row r="66" spans="2:12">
      <c r="B66" s="243"/>
      <c r="C66" s="1009" t="s">
        <v>94</v>
      </c>
      <c r="D66" s="19" t="s">
        <v>89</v>
      </c>
      <c r="E66" s="119">
        <f>C14</f>
        <v>1</v>
      </c>
      <c r="F66" s="159">
        <f>1.1*(data!F17)/3</f>
        <v>13.019453333333333</v>
      </c>
      <c r="G66" s="120">
        <f>C14</f>
        <v>1</v>
      </c>
      <c r="H66" s="280">
        <f>(F66)*(G66)</f>
        <v>13.019453333333333</v>
      </c>
      <c r="I66" s="19" t="s">
        <v>20</v>
      </c>
      <c r="J66" s="246"/>
    </row>
    <row r="67" spans="2:12" ht="14.25" thickBot="1">
      <c r="B67" s="471"/>
      <c r="C67" s="253"/>
      <c r="D67" s="254"/>
      <c r="E67" s="378" t="s">
        <v>371</v>
      </c>
      <c r="F67" s="254"/>
      <c r="G67" s="62" t="s">
        <v>17</v>
      </c>
      <c r="H67" s="254"/>
      <c r="I67" s="175" t="s">
        <v>322</v>
      </c>
      <c r="J67" s="619" t="str">
        <f>IF(F64&lt;=H66,"◯","×")</f>
        <v>◯</v>
      </c>
    </row>
    <row r="68" spans="2:12">
      <c r="B68" s="297" t="s">
        <v>321</v>
      </c>
      <c r="C68" s="298"/>
      <c r="D68" s="298"/>
      <c r="E68" s="241"/>
      <c r="F68" s="241"/>
      <c r="G68" s="241"/>
      <c r="H68" s="241"/>
      <c r="I68" s="241"/>
      <c r="J68" s="242"/>
      <c r="K68" s="248"/>
    </row>
    <row r="69" spans="2:12">
      <c r="B69" s="263"/>
      <c r="C69" s="252"/>
      <c r="D69" s="248"/>
      <c r="E69" s="248"/>
      <c r="F69" s="248"/>
      <c r="G69" s="248"/>
      <c r="H69" s="248"/>
      <c r="I69" s="248"/>
      <c r="J69" s="246"/>
      <c r="K69" s="248"/>
    </row>
    <row r="70" spans="2:12">
      <c r="B70" s="466" t="s">
        <v>221</v>
      </c>
      <c r="C70" s="60" t="s">
        <v>649</v>
      </c>
      <c r="E70" s="88">
        <f>E22</f>
        <v>84.671999999999997</v>
      </c>
      <c r="F70" s="118">
        <f>($C$9)</f>
        <v>1.82</v>
      </c>
      <c r="G70" s="447" t="s">
        <v>95</v>
      </c>
      <c r="H70" s="125">
        <f>(E70)*(F70)/2</f>
        <v>77.051519999999996</v>
      </c>
      <c r="I70" s="19" t="s">
        <v>31</v>
      </c>
      <c r="J70" s="246"/>
      <c r="K70" s="465"/>
    </row>
    <row r="71" spans="2:12">
      <c r="B71" s="243"/>
      <c r="C71" s="252"/>
      <c r="D71" s="252"/>
      <c r="E71" s="17" t="s">
        <v>18</v>
      </c>
      <c r="F71" s="446" t="s">
        <v>92</v>
      </c>
      <c r="G71" s="248"/>
      <c r="H71" s="248"/>
      <c r="I71" s="248"/>
      <c r="J71" s="246"/>
      <c r="K71" s="248"/>
    </row>
    <row r="72" spans="2:12">
      <c r="B72" s="474" t="s">
        <v>143</v>
      </c>
      <c r="C72" s="475"/>
      <c r="D72" s="249"/>
      <c r="E72" s="249"/>
      <c r="F72" s="249"/>
      <c r="G72" s="249"/>
      <c r="H72" s="249"/>
      <c r="I72" s="249"/>
      <c r="J72" s="250"/>
    </row>
    <row r="73" spans="2:12">
      <c r="B73" s="11"/>
      <c r="C73" s="1024" t="s">
        <v>544</v>
      </c>
      <c r="D73" s="102" t="s">
        <v>158</v>
      </c>
      <c r="E73" s="478">
        <f>(E33)*(E32)/(C9*1000)</f>
        <v>1911</v>
      </c>
      <c r="F73" s="19" t="s">
        <v>31</v>
      </c>
      <c r="G73" s="60" t="s">
        <v>545</v>
      </c>
      <c r="H73" s="479">
        <f>(E33)*(C9-(E32)/1000)/C9</f>
        <v>1911</v>
      </c>
      <c r="I73" s="19" t="s">
        <v>31</v>
      </c>
      <c r="J73" s="89"/>
    </row>
    <row r="74" spans="2:12">
      <c r="B74" s="11"/>
      <c r="C74" s="1024" t="s">
        <v>546</v>
      </c>
      <c r="D74" s="102" t="s">
        <v>159</v>
      </c>
      <c r="E74" s="452">
        <f>(F33)*F32/(C9*1000)</f>
        <v>0</v>
      </c>
      <c r="F74" s="19" t="s">
        <v>31</v>
      </c>
      <c r="G74" s="60" t="s">
        <v>547</v>
      </c>
      <c r="H74" s="454">
        <f>IF(F32=0,0,((F33)*(C9-(F32)/1000)/C9))</f>
        <v>0</v>
      </c>
      <c r="I74" s="19" t="s">
        <v>31</v>
      </c>
      <c r="J74" s="473"/>
    </row>
    <row r="75" spans="2:12">
      <c r="B75" s="103"/>
      <c r="C75" s="476"/>
      <c r="D75" s="90" t="s">
        <v>85</v>
      </c>
      <c r="E75" s="478">
        <f>SUM(E73:E74)</f>
        <v>1911</v>
      </c>
      <c r="F75" s="19" t="s">
        <v>31</v>
      </c>
      <c r="G75" s="90" t="s">
        <v>85</v>
      </c>
      <c r="H75" s="478">
        <f>SUM(H73:H74)</f>
        <v>1911</v>
      </c>
      <c r="I75" s="19" t="s">
        <v>31</v>
      </c>
      <c r="J75" s="1025">
        <f>MAX(E75,H75)</f>
        <v>1911</v>
      </c>
    </row>
    <row r="76" spans="2:12">
      <c r="B76" s="310"/>
      <c r="C76" s="1026" t="s">
        <v>166</v>
      </c>
      <c r="D76" s="397"/>
      <c r="E76" s="480">
        <f>H70+J75</f>
        <v>1988.05152</v>
      </c>
      <c r="F76" s="19" t="s">
        <v>31</v>
      </c>
      <c r="G76" s="90"/>
      <c r="H76" s="452"/>
      <c r="I76" s="19"/>
      <c r="J76" s="473"/>
    </row>
    <row r="77" spans="2:12">
      <c r="B77" s="310"/>
      <c r="C77" s="477"/>
      <c r="D77" s="452"/>
      <c r="E77" s="248"/>
      <c r="F77" s="248"/>
      <c r="G77" s="248"/>
      <c r="H77" s="248"/>
      <c r="I77" s="248"/>
      <c r="J77" s="246"/>
    </row>
    <row r="78" spans="2:12">
      <c r="B78" s="310"/>
      <c r="C78" s="1014" t="s">
        <v>293</v>
      </c>
      <c r="D78" s="574" t="s">
        <v>650</v>
      </c>
      <c r="E78" s="138">
        <f>E76</f>
        <v>1988.05152</v>
      </c>
      <c r="F78" s="123">
        <f>D36</f>
        <v>21600</v>
      </c>
      <c r="G78" s="159">
        <f>1.5*(E78)/(F78)</f>
        <v>0.13805913333333333</v>
      </c>
      <c r="H78" s="455" t="s">
        <v>36</v>
      </c>
      <c r="I78" s="248"/>
      <c r="J78" s="246"/>
    </row>
    <row r="79" spans="2:12">
      <c r="B79" s="243"/>
      <c r="C79" s="455"/>
      <c r="D79" s="19"/>
      <c r="E79" s="19"/>
      <c r="F79" s="454" t="s">
        <v>315</v>
      </c>
      <c r="G79" s="19"/>
      <c r="H79" s="19"/>
      <c r="I79" s="248"/>
      <c r="J79" s="246"/>
      <c r="L79" s="2"/>
    </row>
    <row r="80" spans="2:12">
      <c r="B80" s="243"/>
      <c r="C80" s="1009" t="s">
        <v>94</v>
      </c>
      <c r="D80" s="1012" t="s">
        <v>89</v>
      </c>
      <c r="E80" s="119">
        <f>C14</f>
        <v>1</v>
      </c>
      <c r="F80" s="19">
        <f>1.1*(data!I17)/3</f>
        <v>0.66</v>
      </c>
      <c r="G80" s="120">
        <f>C14</f>
        <v>1</v>
      </c>
      <c r="H80" s="19">
        <f>(F80)*C14</f>
        <v>0.66</v>
      </c>
      <c r="I80" s="252" t="s">
        <v>36</v>
      </c>
      <c r="J80" s="246"/>
    </row>
    <row r="81" spans="2:11" ht="14.25" thickBot="1">
      <c r="B81" s="272"/>
      <c r="C81" s="368"/>
      <c r="D81" s="274"/>
      <c r="E81" s="368" t="s">
        <v>17</v>
      </c>
      <c r="F81" s="274"/>
      <c r="G81" s="384" t="s">
        <v>17</v>
      </c>
      <c r="H81" s="274"/>
      <c r="I81" s="175" t="s">
        <v>322</v>
      </c>
      <c r="J81" s="619" t="str">
        <f>IF(F78&lt;=H80,"◯","×")</f>
        <v>×</v>
      </c>
      <c r="K81" s="248"/>
    </row>
    <row r="82" spans="2:11">
      <c r="B82" s="481" t="s">
        <v>122</v>
      </c>
      <c r="C82" s="482"/>
      <c r="D82" s="298"/>
      <c r="E82" s="241"/>
      <c r="F82" s="241"/>
      <c r="G82" s="241"/>
      <c r="H82" s="241"/>
      <c r="I82" s="241"/>
      <c r="J82" s="242"/>
      <c r="K82" s="248"/>
    </row>
    <row r="83" spans="2:11">
      <c r="B83" s="466" t="s">
        <v>221</v>
      </c>
      <c r="C83" s="7"/>
      <c r="D83" s="248"/>
      <c r="E83" s="248"/>
      <c r="F83" s="248"/>
      <c r="G83" s="248"/>
      <c r="H83" s="248"/>
      <c r="I83" s="248"/>
      <c r="J83" s="246"/>
      <c r="K83" s="248"/>
    </row>
    <row r="84" spans="2:11">
      <c r="B84" s="310"/>
      <c r="C84" s="574" t="s">
        <v>64</v>
      </c>
      <c r="D84" s="196">
        <f>E26</f>
        <v>84.671999999999997</v>
      </c>
      <c r="E84" s="213">
        <f>(C9)</f>
        <v>1.82</v>
      </c>
      <c r="F84" s="41" t="s">
        <v>162</v>
      </c>
      <c r="G84" s="125">
        <f>data!I20</f>
        <v>7.2972799999999998</v>
      </c>
      <c r="H84" s="124">
        <f>E38</f>
        <v>58320000</v>
      </c>
      <c r="I84" s="96" t="s">
        <v>105</v>
      </c>
      <c r="J84" s="281">
        <f>(5*($D$84)*($E$84)^4)/(384*1000*($G$84)*(H84))*1000000000*2</f>
        <v>5.6848056238373822E-2</v>
      </c>
      <c r="K84" s="248"/>
    </row>
    <row r="85" spans="2:11">
      <c r="B85" s="243"/>
      <c r="C85" s="252"/>
      <c r="D85" s="450" t="s">
        <v>71</v>
      </c>
      <c r="E85" s="452" t="s">
        <v>92</v>
      </c>
      <c r="F85" s="245"/>
      <c r="G85" s="19" t="s">
        <v>37</v>
      </c>
      <c r="H85" s="251" t="s">
        <v>40</v>
      </c>
      <c r="I85" s="252" t="s">
        <v>66</v>
      </c>
      <c r="J85" s="10" t="s">
        <v>104</v>
      </c>
      <c r="K85" s="248"/>
    </row>
    <row r="86" spans="2:11">
      <c r="B86" s="261"/>
      <c r="C86" s="253"/>
      <c r="D86" s="254"/>
      <c r="E86" s="253"/>
      <c r="F86" s="254"/>
      <c r="G86" s="62"/>
      <c r="H86" s="254"/>
      <c r="I86" s="484"/>
      <c r="J86" s="485"/>
      <c r="K86" s="248"/>
    </row>
    <row r="87" spans="2:11">
      <c r="B87" s="68" t="s">
        <v>143</v>
      </c>
      <c r="C87" s="1007" t="s">
        <v>651</v>
      </c>
      <c r="D87" s="196">
        <f>E34</f>
        <v>1638</v>
      </c>
      <c r="E87" s="486">
        <f>E32/1000</f>
        <v>0.91</v>
      </c>
      <c r="F87" s="41" t="s">
        <v>164</v>
      </c>
      <c r="G87" s="161">
        <f>(E87)</f>
        <v>0.91</v>
      </c>
      <c r="H87" s="96" t="s">
        <v>173</v>
      </c>
      <c r="I87" s="162">
        <f>data!I20</f>
        <v>7.2972799999999998</v>
      </c>
      <c r="J87" s="163">
        <f>E38</f>
        <v>58320000</v>
      </c>
      <c r="K87" s="483"/>
    </row>
    <row r="88" spans="2:11">
      <c r="B88" s="68"/>
      <c r="C88" s="244"/>
      <c r="D88" s="451" t="s">
        <v>71</v>
      </c>
      <c r="E88" s="41"/>
      <c r="F88" s="41"/>
      <c r="G88" s="41"/>
      <c r="H88" s="41"/>
      <c r="I88" s="19" t="s">
        <v>37</v>
      </c>
      <c r="J88" s="452" t="s">
        <v>40</v>
      </c>
      <c r="K88" s="483"/>
    </row>
    <row r="89" spans="2:11">
      <c r="B89" s="243"/>
      <c r="C89" s="244"/>
      <c r="D89" s="164">
        <f>C9</f>
        <v>1.82</v>
      </c>
      <c r="E89" s="1197" t="s">
        <v>105</v>
      </c>
      <c r="F89" s="1197"/>
      <c r="G89" s="125">
        <f>((D87)*(E87)*((C9)*(C9)-(G87)*(G87))^(3/2))/(9*3^(0.5)*(I87)*1000*(J87)*(D89))*1000000000*2</f>
        <v>0.96680367752336449</v>
      </c>
      <c r="H89" s="455" t="s">
        <v>104</v>
      </c>
      <c r="I89" s="41"/>
      <c r="J89" s="19"/>
      <c r="K89" s="483"/>
    </row>
    <row r="90" spans="2:11">
      <c r="B90" s="243"/>
      <c r="C90" s="244"/>
      <c r="D90" s="452" t="s">
        <v>92</v>
      </c>
      <c r="E90" s="245"/>
      <c r="F90" s="252" t="s">
        <v>66</v>
      </c>
      <c r="G90" s="245"/>
      <c r="H90" s="245"/>
      <c r="I90" s="245"/>
      <c r="J90" s="248"/>
      <c r="K90" s="483"/>
    </row>
    <row r="91" spans="2:11">
      <c r="B91" s="243"/>
      <c r="C91" s="1007" t="s">
        <v>652</v>
      </c>
      <c r="D91" s="196">
        <f>F34</f>
        <v>1638</v>
      </c>
      <c r="E91" s="286">
        <f>F32/1000</f>
        <v>0</v>
      </c>
      <c r="F91" s="41" t="s">
        <v>164</v>
      </c>
      <c r="G91" s="289">
        <f>E91</f>
        <v>0</v>
      </c>
      <c r="H91" s="96" t="s">
        <v>173</v>
      </c>
      <c r="I91" s="299">
        <f>data!I20</f>
        <v>7.2972799999999998</v>
      </c>
      <c r="J91" s="163">
        <f>E38</f>
        <v>58320000</v>
      </c>
      <c r="K91" s="483"/>
    </row>
    <row r="92" spans="2:11">
      <c r="B92" s="243"/>
      <c r="C92" s="37"/>
      <c r="D92" s="451" t="s">
        <v>71</v>
      </c>
      <c r="E92" s="455"/>
      <c r="F92" s="41"/>
      <c r="G92" s="41"/>
      <c r="H92" s="41"/>
      <c r="I92" s="19" t="s">
        <v>37</v>
      </c>
      <c r="J92" s="452" t="s">
        <v>40</v>
      </c>
      <c r="K92" s="483"/>
    </row>
    <row r="93" spans="2:11">
      <c r="B93" s="243"/>
      <c r="C93" s="244"/>
      <c r="D93" s="165">
        <f>C9</f>
        <v>1.82</v>
      </c>
      <c r="E93" s="1197" t="s">
        <v>105</v>
      </c>
      <c r="F93" s="1197"/>
      <c r="G93" s="218">
        <f>IF(F32=0,0,(((D91)*(E91)*((C9)^2-(G91)^2)^(3/2)/(9*3^(1/2)*(I91)*1000*(J91)*(D93))*1000000000*2)))</f>
        <v>0</v>
      </c>
      <c r="H93" s="455" t="s">
        <v>104</v>
      </c>
      <c r="I93" s="19"/>
      <c r="J93" s="246"/>
    </row>
    <row r="94" spans="2:11">
      <c r="B94" s="243"/>
      <c r="C94" s="244"/>
      <c r="D94" s="452" t="s">
        <v>92</v>
      </c>
      <c r="E94" s="245"/>
      <c r="F94" s="252" t="s">
        <v>66</v>
      </c>
      <c r="G94" s="245"/>
      <c r="H94" s="252"/>
      <c r="I94" s="248"/>
      <c r="J94" s="246"/>
    </row>
    <row r="95" spans="2:11">
      <c r="B95" s="243"/>
      <c r="C95" s="573" t="s">
        <v>165</v>
      </c>
      <c r="D95" s="218">
        <f>(J84)+(G89)+(G93)</f>
        <v>1.0236517337617383</v>
      </c>
      <c r="E95" s="84" t="s">
        <v>104</v>
      </c>
      <c r="F95" s="472"/>
      <c r="G95" s="245"/>
      <c r="H95" s="245"/>
      <c r="I95" s="248"/>
      <c r="J95" s="246"/>
    </row>
    <row r="96" spans="2:11">
      <c r="B96" s="243"/>
      <c r="C96" s="37"/>
      <c r="D96" s="245"/>
      <c r="E96" s="252"/>
      <c r="F96" s="245"/>
      <c r="G96" s="245"/>
      <c r="H96" s="245"/>
      <c r="I96" s="248"/>
      <c r="J96" s="246"/>
    </row>
    <row r="97" spans="2:10" ht="14.25" thickBot="1">
      <c r="B97" s="272"/>
      <c r="C97" s="639" t="s">
        <v>94</v>
      </c>
      <c r="D97" s="1027" t="s">
        <v>68</v>
      </c>
      <c r="E97" s="422">
        <f>1000*(C9)/250</f>
        <v>7.28</v>
      </c>
      <c r="F97" s="83" t="s">
        <v>106</v>
      </c>
      <c r="G97" s="274"/>
      <c r="H97" s="369"/>
      <c r="I97" s="175" t="s">
        <v>322</v>
      </c>
      <c r="J97" s="619" t="str">
        <f>IF(D95&lt;=E97,"◯","×")</f>
        <v>◯</v>
      </c>
    </row>
  </sheetData>
  <sheetProtection password="CA7B" sheet="1" objects="1" scenarios="1" selectLockedCells="1"/>
  <mergeCells count="25">
    <mergeCell ref="J19:K19"/>
    <mergeCell ref="J20:K20"/>
    <mergeCell ref="J18:K18"/>
    <mergeCell ref="B40:E40"/>
    <mergeCell ref="B41:C41"/>
    <mergeCell ref="D41:E41"/>
    <mergeCell ref="F40:G41"/>
    <mergeCell ref="C32:D32"/>
    <mergeCell ref="C33:D33"/>
    <mergeCell ref="C34:D34"/>
    <mergeCell ref="B2:H2"/>
    <mergeCell ref="E93:F93"/>
    <mergeCell ref="G13:H13"/>
    <mergeCell ref="C16:F17"/>
    <mergeCell ref="F6:H6"/>
    <mergeCell ref="F7:H7"/>
    <mergeCell ref="E89:F89"/>
    <mergeCell ref="F42:G42"/>
    <mergeCell ref="E46:F46"/>
    <mergeCell ref="E44:F45"/>
    <mergeCell ref="J4:K4"/>
    <mergeCell ref="J6:K6"/>
    <mergeCell ref="J13:K13"/>
    <mergeCell ref="B12:B13"/>
    <mergeCell ref="B6:B7"/>
  </mergeCells>
  <phoneticPr fontId="1"/>
  <dataValidations count="6">
    <dataValidation type="list" allowBlank="1" showInputMessage="1" showErrorMessage="1" sqref="C4" xr:uid="{00000000-0002-0000-0A00-000000000000}">
      <formula1>$AD$26:$AD$29</formula1>
    </dataValidation>
    <dataValidation type="list" allowBlank="1" showInputMessage="1" showErrorMessage="1" sqref="C5" xr:uid="{00000000-0002-0000-0A00-000001000000}">
      <formula1>$AD$30:$AD$32</formula1>
    </dataValidation>
    <dataValidation type="list" allowBlank="1" showInputMessage="1" showErrorMessage="1" sqref="E5" xr:uid="{00000000-0002-0000-0A00-000002000000}">
      <formula1>$AD$17:$AD$25</formula1>
    </dataValidation>
    <dataValidation type="list" allowBlank="1" showInputMessage="1" showErrorMessage="1" sqref="C7" xr:uid="{00000000-0002-0000-0A00-000003000000}">
      <formula1>$AE$21:$AE$22</formula1>
    </dataValidation>
    <dataValidation type="list" allowBlank="1" showInputMessage="1" showErrorMessage="1" sqref="D7:E7" xr:uid="{00000000-0002-0000-0A00-000004000000}">
      <formula1>$AE$21:$AE$32</formula1>
    </dataValidation>
    <dataValidation allowBlank="1" showInputMessage="1" showErrorMessage="1" promptTitle="sei" sqref="AE17:AE22" xr:uid="{00000000-0002-0000-0A00-000005000000}"/>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M3"/>
  <sheetViews>
    <sheetView showGridLines="0" showRowColHeaders="0" zoomScaleNormal="100" workbookViewId="0">
      <selection activeCell="J2" sqref="J2"/>
    </sheetView>
  </sheetViews>
  <sheetFormatPr defaultRowHeight="13.5"/>
  <cols>
    <col min="1" max="1" width="2.375" customWidth="1"/>
    <col min="2" max="10" width="9" customWidth="1"/>
  </cols>
  <sheetData>
    <row r="2" spans="2:13">
      <c r="B2" s="1342" t="s">
        <v>415</v>
      </c>
      <c r="C2" s="1153"/>
      <c r="D2" s="1153"/>
      <c r="E2" s="1153"/>
      <c r="F2" s="1153"/>
      <c r="G2" s="1153"/>
      <c r="H2" s="1153"/>
      <c r="I2" s="1153"/>
    </row>
    <row r="3" spans="2:13">
      <c r="B3" s="1153"/>
      <c r="C3" s="1153"/>
      <c r="D3" s="1153"/>
      <c r="E3" s="1153"/>
      <c r="F3" s="1153"/>
      <c r="G3" s="1153"/>
      <c r="H3" s="1153"/>
      <c r="I3" s="1153"/>
      <c r="K3" t="s">
        <v>413</v>
      </c>
      <c r="M3" t="s">
        <v>414</v>
      </c>
    </row>
  </sheetData>
  <sheetProtection password="ECB8" sheet="1" objects="1" scenarios="1" selectLockedCells="1"/>
  <mergeCells count="1">
    <mergeCell ref="B2:I3"/>
  </mergeCells>
  <phoneticPr fontId="1"/>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AK198"/>
  <sheetViews>
    <sheetView showGridLines="0" showRowColHeaders="0" zoomScale="130" zoomScaleNormal="130" workbookViewId="0">
      <selection activeCell="K9" sqref="K9"/>
    </sheetView>
  </sheetViews>
  <sheetFormatPr defaultRowHeight="13.5"/>
  <cols>
    <col min="1" max="1" width="1.875" customWidth="1"/>
    <col min="2" max="3" width="8.75" style="411" customWidth="1"/>
    <col min="4" max="4" width="9.125" customWidth="1"/>
    <col min="5" max="6" width="8.75" customWidth="1"/>
    <col min="7" max="7" width="8.875" customWidth="1"/>
    <col min="8" max="8" width="10.125" customWidth="1"/>
    <col min="9" max="10" width="8.75" customWidth="1"/>
    <col min="11" max="11" width="12.375" customWidth="1"/>
    <col min="12" max="12" width="10.625" customWidth="1"/>
    <col min="13" max="13" width="8.75" customWidth="1"/>
    <col min="14" max="14" width="9.75" customWidth="1"/>
    <col min="15" max="15" width="6.875" customWidth="1"/>
    <col min="16" max="16" width="10.375" customWidth="1"/>
    <col min="18" max="18" width="9.5" bestFit="1" customWidth="1"/>
    <col min="19" max="19" width="8.625" customWidth="1"/>
    <col min="20" max="20" width="9.125" bestFit="1" customWidth="1"/>
    <col min="21" max="21" width="4.875" customWidth="1"/>
    <col min="23" max="23" width="9.125" bestFit="1" customWidth="1"/>
  </cols>
  <sheetData>
    <row r="2" spans="2:37" ht="21">
      <c r="B2" s="1210" t="s">
        <v>418</v>
      </c>
      <c r="C2" s="1211"/>
      <c r="D2" s="1211"/>
      <c r="E2" s="1211"/>
      <c r="F2" s="1153"/>
      <c r="G2" s="1153"/>
      <c r="H2" s="1310"/>
      <c r="I2" s="974" t="s">
        <v>495</v>
      </c>
      <c r="J2" s="975" t="s">
        <v>496</v>
      </c>
    </row>
    <row r="3" spans="2:37" ht="14.25" thickBot="1"/>
    <row r="4" spans="2:37">
      <c r="B4" s="179" t="s">
        <v>0</v>
      </c>
      <c r="C4" s="1114">
        <v>910</v>
      </c>
      <c r="D4" s="180" t="s">
        <v>4</v>
      </c>
      <c r="E4" s="180"/>
      <c r="F4" s="180"/>
      <c r="G4" s="180"/>
      <c r="H4" s="193"/>
      <c r="I4" s="410"/>
      <c r="J4" s="1168" t="s">
        <v>109</v>
      </c>
      <c r="K4" s="1183"/>
      <c r="L4" s="3"/>
      <c r="M4" s="3"/>
      <c r="N4" s="3"/>
      <c r="O4" s="3"/>
      <c r="P4" s="3"/>
      <c r="Q4" s="3"/>
      <c r="R4" s="3"/>
      <c r="S4" s="3"/>
      <c r="T4" s="3"/>
      <c r="U4" s="4"/>
    </row>
    <row r="5" spans="2:37" ht="14.25" thickBot="1">
      <c r="B5" s="68" t="s">
        <v>12</v>
      </c>
      <c r="C5" s="1115" t="s">
        <v>745</v>
      </c>
      <c r="D5" s="51" t="s">
        <v>54</v>
      </c>
      <c r="E5" s="1098" t="s">
        <v>46</v>
      </c>
      <c r="F5" s="77"/>
      <c r="G5" s="77"/>
      <c r="H5" s="34"/>
      <c r="J5" s="42"/>
      <c r="K5" s="2"/>
      <c r="L5" s="2"/>
      <c r="M5" s="2"/>
      <c r="N5" s="2"/>
      <c r="O5" s="2"/>
      <c r="P5" s="2"/>
      <c r="Q5" s="2"/>
      <c r="R5" s="2"/>
      <c r="S5" s="2"/>
      <c r="T5" s="2"/>
      <c r="U5" s="6"/>
    </row>
    <row r="6" spans="2:37" ht="15" thickTop="1" thickBot="1">
      <c r="B6" s="1327" t="s">
        <v>13</v>
      </c>
      <c r="C6" s="924" t="s">
        <v>78</v>
      </c>
      <c r="D6" s="818" t="s">
        <v>79</v>
      </c>
      <c r="E6" s="818" t="s">
        <v>79</v>
      </c>
      <c r="F6" s="1218" t="s">
        <v>177</v>
      </c>
      <c r="G6" s="1311"/>
      <c r="H6" s="1312"/>
      <c r="I6" s="339"/>
      <c r="J6" s="1172" t="s">
        <v>110</v>
      </c>
      <c r="K6" s="1211"/>
      <c r="L6" s="2"/>
      <c r="M6" s="2"/>
      <c r="N6" s="2"/>
      <c r="O6" s="2"/>
      <c r="P6" s="2"/>
      <c r="Q6" s="2"/>
      <c r="R6" s="2"/>
      <c r="S6" s="2"/>
      <c r="T6" s="2"/>
      <c r="U6" s="6"/>
    </row>
    <row r="7" spans="2:37" ht="14.25" thickBot="1">
      <c r="B7" s="1327"/>
      <c r="C7" s="1106">
        <v>120</v>
      </c>
      <c r="D7" s="1100">
        <v>180</v>
      </c>
      <c r="E7" s="1101">
        <v>180</v>
      </c>
      <c r="F7" s="1313" t="str">
        <f>+IF((F9*1000/MAX(C48,E48))&lt;=12,"はりせい/スパン  OK!","使用上の支障が起きないか確認要：設計変更？？")</f>
        <v>はりせい/スパン  OK!</v>
      </c>
      <c r="G7" s="1314"/>
      <c r="H7" s="1315"/>
      <c r="I7" s="339"/>
      <c r="J7" s="42"/>
      <c r="K7" s="2"/>
      <c r="L7" s="2"/>
      <c r="M7" s="2"/>
      <c r="N7" s="2"/>
      <c r="O7" s="2"/>
      <c r="P7" s="2"/>
      <c r="Q7" s="2"/>
      <c r="R7" s="2"/>
      <c r="S7" s="2"/>
      <c r="T7" s="2"/>
      <c r="U7" s="6"/>
    </row>
    <row r="8" spans="2:37" ht="14.25" thickTop="1">
      <c r="B8" s="230"/>
      <c r="C8" s="182"/>
      <c r="D8" s="47" t="s">
        <v>492</v>
      </c>
      <c r="E8" s="928" t="s">
        <v>480</v>
      </c>
      <c r="F8" s="41"/>
      <c r="G8" s="41"/>
      <c r="H8" s="34"/>
      <c r="J8" s="797" t="s">
        <v>199</v>
      </c>
      <c r="K8" s="702"/>
      <c r="L8" s="703" t="s">
        <v>114</v>
      </c>
      <c r="M8" s="703" t="s">
        <v>116</v>
      </c>
      <c r="N8" s="750" t="s">
        <v>115</v>
      </c>
      <c r="O8" s="2"/>
      <c r="P8" s="883" t="s">
        <v>482</v>
      </c>
      <c r="Q8" s="702"/>
      <c r="R8" s="703" t="s">
        <v>114</v>
      </c>
      <c r="S8" s="703" t="s">
        <v>116</v>
      </c>
      <c r="T8" s="750" t="s">
        <v>115</v>
      </c>
      <c r="U8" s="6"/>
      <c r="V8" s="2"/>
      <c r="W8" s="2"/>
      <c r="X8" s="2"/>
      <c r="Y8" s="2"/>
    </row>
    <row r="9" spans="2:37">
      <c r="B9" s="230" t="s">
        <v>383</v>
      </c>
      <c r="C9" s="223">
        <f>C20/2</f>
        <v>0.91</v>
      </c>
      <c r="D9" s="41" t="s">
        <v>77</v>
      </c>
      <c r="E9" s="449" t="s">
        <v>387</v>
      </c>
      <c r="F9" s="1103">
        <v>1.82</v>
      </c>
      <c r="G9" s="77" t="s">
        <v>77</v>
      </c>
      <c r="H9" s="34"/>
      <c r="J9" s="942"/>
      <c r="K9" s="1144" t="s">
        <v>205</v>
      </c>
      <c r="L9" s="1105">
        <v>100</v>
      </c>
      <c r="M9" s="833"/>
      <c r="N9" s="932"/>
      <c r="O9" s="2"/>
      <c r="P9" s="890" t="s">
        <v>483</v>
      </c>
      <c r="Q9" s="1128" t="s">
        <v>113</v>
      </c>
      <c r="R9" s="1077">
        <v>100</v>
      </c>
      <c r="S9" s="317"/>
      <c r="T9" s="933"/>
      <c r="U9" s="6"/>
      <c r="V9" s="2"/>
      <c r="W9" s="2"/>
      <c r="X9" s="2"/>
      <c r="Y9" s="2"/>
      <c r="AK9" s="2"/>
    </row>
    <row r="10" spans="2:37">
      <c r="B10" s="958" t="s">
        <v>428</v>
      </c>
      <c r="C10" s="1103">
        <v>3.64</v>
      </c>
      <c r="D10" s="77" t="s">
        <v>77</v>
      </c>
      <c r="E10" s="25" t="s">
        <v>429</v>
      </c>
      <c r="F10" s="224">
        <v>1.82</v>
      </c>
      <c r="G10" s="77" t="s">
        <v>77</v>
      </c>
      <c r="H10" s="34"/>
      <c r="J10" s="42"/>
      <c r="K10" s="1145" t="s">
        <v>204</v>
      </c>
      <c r="L10" s="1105">
        <v>80</v>
      </c>
      <c r="M10" s="834"/>
      <c r="N10" s="751"/>
      <c r="O10" s="2"/>
      <c r="P10" s="2"/>
      <c r="Q10" s="1128" t="s">
        <v>117</v>
      </c>
      <c r="R10" s="1077">
        <v>100</v>
      </c>
      <c r="S10" s="723"/>
      <c r="T10" s="724"/>
      <c r="U10" s="6"/>
      <c r="V10" s="2"/>
      <c r="W10" s="2"/>
      <c r="X10" s="2"/>
      <c r="Y10" s="2"/>
      <c r="AK10" s="2"/>
    </row>
    <row r="11" spans="2:37" ht="14.25" thickBot="1">
      <c r="B11" s="68" t="s">
        <v>5</v>
      </c>
      <c r="C11" s="404">
        <v>2</v>
      </c>
      <c r="D11" s="77"/>
      <c r="E11" s="51" t="s">
        <v>454</v>
      </c>
      <c r="F11" s="1103">
        <v>0.4</v>
      </c>
      <c r="G11" s="886"/>
      <c r="H11" s="887"/>
      <c r="J11" s="42"/>
      <c r="K11" s="1146"/>
      <c r="L11" s="1105">
        <v>0</v>
      </c>
      <c r="M11" s="834"/>
      <c r="N11" s="751"/>
      <c r="O11" s="2"/>
      <c r="P11" s="2"/>
      <c r="Q11" s="1129" t="s">
        <v>128</v>
      </c>
      <c r="R11" s="1078">
        <v>100</v>
      </c>
      <c r="S11" s="752">
        <f>SUM(R9:R11)</f>
        <v>300</v>
      </c>
      <c r="T11" s="753">
        <f>+ROUNDUP(S11/5,-1)*5</f>
        <v>300</v>
      </c>
      <c r="U11" s="6"/>
      <c r="V11" s="2"/>
      <c r="W11" s="2"/>
      <c r="X11" s="2"/>
      <c r="Y11" s="2"/>
      <c r="AK11" s="2"/>
    </row>
    <row r="12" spans="2:37" ht="14.25" customHeight="1">
      <c r="B12" s="1356" t="s">
        <v>107</v>
      </c>
      <c r="C12" s="906" t="s">
        <v>96</v>
      </c>
      <c r="D12" s="859" t="s">
        <v>90</v>
      </c>
      <c r="E12" s="859" t="s">
        <v>103</v>
      </c>
      <c r="F12" s="45"/>
      <c r="G12" s="888"/>
      <c r="H12" s="887"/>
      <c r="J12" s="42"/>
      <c r="K12" s="1145" t="s">
        <v>487</v>
      </c>
      <c r="L12" s="1105">
        <v>40</v>
      </c>
      <c r="M12" s="834"/>
      <c r="N12" s="751"/>
      <c r="O12" s="2"/>
      <c r="P12" s="2"/>
      <c r="Q12" s="580" t="s">
        <v>111</v>
      </c>
      <c r="R12" s="77" t="s">
        <v>127</v>
      </c>
      <c r="S12" s="77"/>
      <c r="T12" s="77"/>
      <c r="U12" s="6"/>
      <c r="V12" s="2"/>
      <c r="W12" s="2"/>
      <c r="X12" s="2"/>
      <c r="Y12" s="883"/>
      <c r="AK12" s="2"/>
    </row>
    <row r="13" spans="2:37">
      <c r="B13" s="1357"/>
      <c r="C13" s="1088">
        <v>1</v>
      </c>
      <c r="D13" s="1087">
        <v>1</v>
      </c>
      <c r="E13" s="1087">
        <v>1</v>
      </c>
      <c r="F13" s="403"/>
      <c r="G13" s="404"/>
      <c r="H13" s="34"/>
      <c r="J13" s="42"/>
      <c r="K13" s="1145" t="s">
        <v>486</v>
      </c>
      <c r="L13" s="1105">
        <v>50</v>
      </c>
      <c r="M13" s="836">
        <f>SUM(L9:L13)</f>
        <v>270</v>
      </c>
      <c r="N13" s="938">
        <f>+ROUNDUP(M13/5,-1)*5</f>
        <v>300</v>
      </c>
      <c r="O13" s="2"/>
      <c r="P13" s="2"/>
      <c r="Q13" s="2"/>
      <c r="R13" s="2"/>
      <c r="S13" s="2"/>
      <c r="T13" s="2"/>
      <c r="U13" s="6"/>
      <c r="V13" s="2"/>
      <c r="W13" s="2"/>
      <c r="X13" s="2"/>
      <c r="Y13" s="2"/>
      <c r="AK13" s="2"/>
    </row>
    <row r="14" spans="2:37" ht="14.25" thickBot="1">
      <c r="B14" s="68" t="s">
        <v>7</v>
      </c>
      <c r="C14" s="225">
        <f>IF(C48&gt;300,(300/C48)^(1/9),1)</f>
        <v>1</v>
      </c>
      <c r="D14" s="51"/>
      <c r="H14" s="6"/>
      <c r="J14" s="42"/>
      <c r="K14" s="954" t="s">
        <v>216</v>
      </c>
      <c r="L14" s="955"/>
      <c r="M14" s="608">
        <f>M13*$O$41</f>
        <v>290.7988995852632</v>
      </c>
      <c r="N14" s="931">
        <f>+ROUNDUP(M14/5,-1)*5</f>
        <v>300</v>
      </c>
      <c r="O14" s="2"/>
      <c r="P14" s="2"/>
      <c r="Q14" s="2"/>
      <c r="R14" s="2"/>
      <c r="S14" s="2"/>
      <c r="T14" s="2"/>
      <c r="U14" s="6"/>
      <c r="V14" s="2"/>
      <c r="W14" s="2"/>
      <c r="X14" s="2"/>
      <c r="Y14" s="2"/>
      <c r="AK14" s="2"/>
    </row>
    <row r="15" spans="2:37">
      <c r="B15" s="466" t="s">
        <v>388</v>
      </c>
      <c r="C15" s="1116">
        <v>2700</v>
      </c>
      <c r="D15" s="45" t="s">
        <v>489</v>
      </c>
      <c r="E15" s="77"/>
      <c r="F15" s="77"/>
      <c r="G15" s="77"/>
      <c r="H15" s="34"/>
      <c r="J15" s="42"/>
      <c r="K15" s="890" t="s">
        <v>210</v>
      </c>
      <c r="L15" s="19" t="s">
        <v>127</v>
      </c>
      <c r="M15" s="2"/>
      <c r="N15" s="2"/>
      <c r="O15" s="2"/>
      <c r="P15" s="2"/>
      <c r="Q15" s="2"/>
      <c r="R15" s="2"/>
      <c r="S15" s="2"/>
      <c r="T15" s="2"/>
      <c r="U15" s="6"/>
      <c r="V15" s="2"/>
      <c r="W15" s="2"/>
      <c r="X15" s="2"/>
      <c r="Y15" s="2"/>
      <c r="AK15" s="2"/>
    </row>
    <row r="16" spans="2:37" ht="14.25" thickBot="1">
      <c r="B16" s="68" t="s">
        <v>180</v>
      </c>
      <c r="C16" s="1223" t="s">
        <v>398</v>
      </c>
      <c r="D16" s="1223"/>
      <c r="E16" s="1223"/>
      <c r="F16" s="1211"/>
      <c r="G16" s="1211"/>
      <c r="H16" s="409"/>
      <c r="I16" s="42"/>
      <c r="J16" s="42"/>
      <c r="K16" s="2"/>
      <c r="L16" s="28"/>
      <c r="M16" s="28"/>
      <c r="N16" s="28"/>
      <c r="O16" s="2"/>
      <c r="P16" s="2"/>
      <c r="Q16" s="2"/>
      <c r="R16" s="2"/>
      <c r="S16" s="2"/>
      <c r="T16" s="2"/>
      <c r="U16" s="6"/>
      <c r="V16" s="2"/>
      <c r="W16" s="2"/>
      <c r="X16" s="2"/>
      <c r="Y16" s="2"/>
      <c r="AK16" s="2"/>
    </row>
    <row r="17" spans="2:37">
      <c r="B17" s="108" t="s">
        <v>469</v>
      </c>
      <c r="C17" s="1250" t="s">
        <v>183</v>
      </c>
      <c r="D17" s="1358"/>
      <c r="E17" s="77"/>
      <c r="F17" s="77"/>
      <c r="G17" s="77"/>
      <c r="H17" s="77"/>
      <c r="I17" s="5"/>
      <c r="J17" s="712" t="s">
        <v>484</v>
      </c>
      <c r="K17" s="702"/>
      <c r="L17" s="703" t="s">
        <v>114</v>
      </c>
      <c r="M17" s="703" t="s">
        <v>116</v>
      </c>
      <c r="N17" s="750" t="s">
        <v>115</v>
      </c>
      <c r="O17" s="2"/>
      <c r="P17" s="102" t="s">
        <v>485</v>
      </c>
      <c r="Q17" s="702"/>
      <c r="R17" s="703" t="s">
        <v>114</v>
      </c>
      <c r="S17" s="703" t="s">
        <v>116</v>
      </c>
      <c r="T17" s="750" t="s">
        <v>115</v>
      </c>
      <c r="U17" s="6"/>
      <c r="AD17" s="1044" t="s">
        <v>46</v>
      </c>
      <c r="AE17" s="1018">
        <v>45</v>
      </c>
      <c r="AF17" s="1046">
        <v>1</v>
      </c>
      <c r="AK17" s="2"/>
    </row>
    <row r="18" spans="2:37">
      <c r="B18" s="108" t="s">
        <v>195</v>
      </c>
      <c r="C18" s="1099" t="s">
        <v>189</v>
      </c>
      <c r="H18" s="77"/>
      <c r="I18" s="42"/>
      <c r="J18" s="42"/>
      <c r="K18" s="1148" t="s">
        <v>259</v>
      </c>
      <c r="L18" s="1077">
        <v>40</v>
      </c>
      <c r="M18" s="833"/>
      <c r="N18" s="932"/>
      <c r="O18" s="2"/>
      <c r="P18" s="2"/>
      <c r="Q18" s="1147" t="s">
        <v>359</v>
      </c>
      <c r="R18" s="1077">
        <v>640</v>
      </c>
      <c r="S18" s="317"/>
      <c r="T18" s="933"/>
      <c r="U18" s="6"/>
      <c r="AD18" s="1045" t="s">
        <v>45</v>
      </c>
      <c r="AE18" s="1018">
        <v>60</v>
      </c>
      <c r="AF18" s="1046">
        <v>2</v>
      </c>
      <c r="AK18" s="2"/>
    </row>
    <row r="19" spans="2:37">
      <c r="B19" s="466" t="s">
        <v>361</v>
      </c>
      <c r="C19" s="1117">
        <v>60</v>
      </c>
      <c r="D19" s="51" t="s">
        <v>367</v>
      </c>
      <c r="H19" s="404"/>
      <c r="I19" s="42"/>
      <c r="J19" s="711"/>
      <c r="K19" s="1149" t="s">
        <v>260</v>
      </c>
      <c r="L19" s="1077">
        <v>30</v>
      </c>
      <c r="M19" s="834"/>
      <c r="N19" s="751"/>
      <c r="O19" s="2"/>
      <c r="P19" s="2"/>
      <c r="Q19" s="1147" t="s">
        <v>359</v>
      </c>
      <c r="R19" s="1077">
        <v>0</v>
      </c>
      <c r="S19" s="871">
        <f>SUM(R18:R19)</f>
        <v>640</v>
      </c>
      <c r="T19" s="937">
        <f>+ROUNDUP(S19/5,-1)*5</f>
        <v>650</v>
      </c>
      <c r="U19" s="6"/>
      <c r="AD19" s="1045" t="s">
        <v>47</v>
      </c>
      <c r="AE19" s="1018">
        <v>75</v>
      </c>
      <c r="AF19" s="1046">
        <v>3</v>
      </c>
      <c r="AK19" s="2"/>
    </row>
    <row r="20" spans="2:37" ht="14.25" thickBot="1">
      <c r="B20" s="959" t="s">
        <v>444</v>
      </c>
      <c r="C20" s="1118">
        <v>1.82</v>
      </c>
      <c r="D20" s="1337" t="s">
        <v>395</v>
      </c>
      <c r="E20" s="1211"/>
      <c r="F20" s="407"/>
      <c r="G20" s="404"/>
      <c r="H20" s="404"/>
      <c r="I20" s="5"/>
      <c r="J20" s="711"/>
      <c r="K20" s="1149" t="s">
        <v>261</v>
      </c>
      <c r="L20" s="1077">
        <v>100</v>
      </c>
      <c r="M20" s="834"/>
      <c r="N20" s="751"/>
      <c r="O20" s="399"/>
      <c r="P20" s="2"/>
      <c r="Q20" s="956" t="s">
        <v>216</v>
      </c>
      <c r="R20" s="957"/>
      <c r="S20" s="935">
        <f>S19*$O$41</f>
        <v>689.30109531321648</v>
      </c>
      <c r="T20" s="936">
        <f>+ROUNDUP(S20/5,-1)*5</f>
        <v>700</v>
      </c>
      <c r="U20" s="6"/>
      <c r="AD20" s="1045" t="s">
        <v>48</v>
      </c>
      <c r="AE20" s="1018">
        <v>90</v>
      </c>
      <c r="AF20" s="1046">
        <v>4</v>
      </c>
      <c r="AK20" s="2"/>
    </row>
    <row r="21" spans="2:37" ht="14.25" thickBot="1">
      <c r="B21" s="907" t="s">
        <v>191</v>
      </c>
      <c r="C21" s="1119">
        <v>4</v>
      </c>
      <c r="D21" s="46" t="s">
        <v>211</v>
      </c>
      <c r="E21" s="210">
        <f>ATAN(C21/10)*180/PI()</f>
        <v>21.801409486351812</v>
      </c>
      <c r="F21" s="77" t="s">
        <v>207</v>
      </c>
      <c r="G21" s="404" t="s">
        <v>192</v>
      </c>
      <c r="H21" s="1109" t="s">
        <v>243</v>
      </c>
      <c r="I21" s="42"/>
      <c r="J21" s="42"/>
      <c r="K21" s="1150" t="s">
        <v>262</v>
      </c>
      <c r="L21" s="1078">
        <v>30</v>
      </c>
      <c r="M21" s="939">
        <f>SUM(L18:L21)</f>
        <v>200</v>
      </c>
      <c r="N21" s="940">
        <f>+ROUNDUP(M21/5,-1)*5</f>
        <v>200</v>
      </c>
      <c r="O21" s="399"/>
      <c r="P21" s="2"/>
      <c r="Q21" s="890" t="s">
        <v>210</v>
      </c>
      <c r="R21" s="19" t="s">
        <v>127</v>
      </c>
      <c r="S21" s="77"/>
      <c r="T21" s="77"/>
      <c r="U21" s="6"/>
      <c r="AD21" s="1045" t="s">
        <v>49</v>
      </c>
      <c r="AE21" s="1018">
        <v>105</v>
      </c>
      <c r="AF21" s="1046">
        <v>5</v>
      </c>
      <c r="AK21" s="2"/>
    </row>
    <row r="22" spans="2:37" ht="14.25" thickBot="1">
      <c r="B22" s="503" t="s">
        <v>263</v>
      </c>
      <c r="C22" s="504"/>
      <c r="D22" s="488"/>
      <c r="E22" s="180"/>
      <c r="F22" s="180"/>
      <c r="G22" s="501"/>
      <c r="H22" s="502"/>
      <c r="I22" s="42"/>
      <c r="J22" s="42"/>
      <c r="K22" s="400" t="s">
        <v>258</v>
      </c>
      <c r="L22" s="19" t="s">
        <v>127</v>
      </c>
      <c r="M22" s="2"/>
      <c r="N22" s="2"/>
      <c r="O22" s="2"/>
      <c r="P22" s="2"/>
      <c r="Q22" s="2"/>
      <c r="R22" s="2"/>
      <c r="S22" s="2"/>
      <c r="T22" s="2"/>
      <c r="U22" s="6"/>
      <c r="AD22" s="1045" t="s">
        <v>50</v>
      </c>
      <c r="AE22" s="1018">
        <v>120</v>
      </c>
      <c r="AF22" s="1046">
        <v>6</v>
      </c>
      <c r="AK22" s="2"/>
    </row>
    <row r="23" spans="2:37" ht="14.25" thickBot="1">
      <c r="B23" s="387" t="s">
        <v>221</v>
      </c>
      <c r="C23" s="487"/>
      <c r="D23" s="489" t="s">
        <v>389</v>
      </c>
      <c r="E23" s="490">
        <f>(F11)*(C7)*(D7)*9.8/1000</f>
        <v>84.671999999999997</v>
      </c>
      <c r="F23" s="491" t="s">
        <v>396</v>
      </c>
      <c r="G23" s="77"/>
      <c r="I23" s="42"/>
      <c r="J23" s="42"/>
      <c r="K23" s="2"/>
      <c r="L23" s="2"/>
      <c r="M23" s="2"/>
      <c r="N23" s="2"/>
      <c r="O23" s="2"/>
      <c r="P23" s="2"/>
      <c r="Q23" s="2"/>
      <c r="R23" s="2"/>
      <c r="S23" s="2"/>
      <c r="T23" s="2"/>
      <c r="U23" s="6"/>
      <c r="V23" s="2"/>
      <c r="W23" s="2"/>
      <c r="X23" s="2"/>
      <c r="AD23" s="1045" t="s">
        <v>51</v>
      </c>
      <c r="AE23" s="1046">
        <v>135</v>
      </c>
      <c r="AF23" s="1046">
        <v>7</v>
      </c>
      <c r="AK23" s="2"/>
    </row>
    <row r="24" spans="2:37">
      <c r="B24" s="230"/>
      <c r="C24" s="182"/>
      <c r="D24" s="492" t="s">
        <v>82</v>
      </c>
      <c r="E24" s="194">
        <f>(Q51)*(C9)/2</f>
        <v>955.5</v>
      </c>
      <c r="F24" s="493" t="s">
        <v>396</v>
      </c>
      <c r="G24" s="428" t="s">
        <v>84</v>
      </c>
      <c r="I24" s="42"/>
      <c r="J24" s="712" t="s">
        <v>375</v>
      </c>
      <c r="K24" s="702"/>
      <c r="L24" s="703" t="s">
        <v>114</v>
      </c>
      <c r="M24" s="703" t="s">
        <v>116</v>
      </c>
      <c r="N24" s="750" t="s">
        <v>115</v>
      </c>
      <c r="O24" s="2"/>
      <c r="P24" s="2"/>
      <c r="Q24" s="2"/>
      <c r="R24" s="2"/>
      <c r="S24" s="2"/>
      <c r="T24" s="2"/>
      <c r="U24" s="6"/>
      <c r="V24" s="2"/>
      <c r="W24" s="2"/>
      <c r="X24" s="2"/>
      <c r="AD24" s="1045" t="s">
        <v>52</v>
      </c>
      <c r="AE24" s="1046">
        <v>150</v>
      </c>
      <c r="AF24" s="1046">
        <v>8</v>
      </c>
      <c r="AK24" s="2"/>
    </row>
    <row r="25" spans="2:37" ht="14.25" thickBot="1">
      <c r="B25" s="68"/>
      <c r="C25" s="182"/>
      <c r="D25" s="492" t="s">
        <v>375</v>
      </c>
      <c r="E25" s="194">
        <f>(Q53)*(C15)/1000</f>
        <v>1350</v>
      </c>
      <c r="F25" s="493" t="s">
        <v>396</v>
      </c>
      <c r="G25" s="41"/>
      <c r="H25" s="34"/>
      <c r="I25" s="42"/>
      <c r="J25" s="42"/>
      <c r="K25" s="1144" t="s">
        <v>379</v>
      </c>
      <c r="L25" s="1105">
        <v>150</v>
      </c>
      <c r="M25" s="829"/>
      <c r="N25" s="930"/>
      <c r="O25" s="2"/>
      <c r="P25" s="2"/>
      <c r="Q25" s="2"/>
      <c r="R25" s="2"/>
      <c r="S25" s="2"/>
      <c r="T25" s="2"/>
      <c r="U25" s="6"/>
      <c r="V25" s="2"/>
      <c r="W25" s="2"/>
      <c r="X25" s="408"/>
      <c r="AD25" s="1045" t="s">
        <v>53</v>
      </c>
      <c r="AE25" s="1046">
        <v>180</v>
      </c>
      <c r="AF25" s="1046">
        <v>9</v>
      </c>
      <c r="AK25" s="2"/>
    </row>
    <row r="26" spans="2:37" ht="14.25" thickBot="1">
      <c r="B26" s="406"/>
      <c r="C26" s="182"/>
      <c r="D26" s="494" t="s">
        <v>426</v>
      </c>
      <c r="E26" s="495">
        <f>(E23)+(E24)</f>
        <v>1040.172</v>
      </c>
      <c r="F26" s="496" t="s">
        <v>396</v>
      </c>
      <c r="H26" s="34"/>
      <c r="J26" s="42"/>
      <c r="K26" s="1145" t="s">
        <v>378</v>
      </c>
      <c r="L26" s="1105">
        <v>150</v>
      </c>
      <c r="M26" s="829"/>
      <c r="N26" s="930"/>
      <c r="O26" s="2"/>
      <c r="P26" s="2"/>
      <c r="Q26" s="2"/>
      <c r="R26" s="2"/>
      <c r="S26" s="2"/>
      <c r="T26" s="2"/>
      <c r="U26" s="6"/>
      <c r="AD26" s="1047">
        <v>910</v>
      </c>
      <c r="AE26" s="1046">
        <v>210</v>
      </c>
      <c r="AF26" s="1020">
        <v>1</v>
      </c>
      <c r="AK26" s="2"/>
    </row>
    <row r="27" spans="2:37">
      <c r="B27" s="406"/>
      <c r="D27" s="497" t="s">
        <v>389</v>
      </c>
      <c r="E27" s="194">
        <f>(F11)*(C7)*(E7)*9.8/1000</f>
        <v>84.671999999999997</v>
      </c>
      <c r="F27" s="493" t="s">
        <v>396</v>
      </c>
      <c r="G27" s="77"/>
      <c r="H27" s="6"/>
      <c r="J27" s="42"/>
      <c r="K27" s="1146" t="s">
        <v>380</v>
      </c>
      <c r="L27" s="1105">
        <v>150</v>
      </c>
      <c r="M27" s="829"/>
      <c r="N27" s="930"/>
      <c r="O27" s="2"/>
      <c r="P27" s="2"/>
      <c r="Q27" s="2"/>
      <c r="R27" s="2"/>
      <c r="S27" s="2"/>
      <c r="T27" s="2"/>
      <c r="U27" s="6"/>
      <c r="AD27" s="1047">
        <v>950</v>
      </c>
      <c r="AE27" s="1046">
        <v>240</v>
      </c>
      <c r="AF27" s="1020">
        <v>1.1499999999999999</v>
      </c>
      <c r="AK27" s="2"/>
    </row>
    <row r="28" spans="2:37">
      <c r="B28" s="68"/>
      <c r="D28" s="492" t="s">
        <v>82</v>
      </c>
      <c r="E28" s="194">
        <f>(Q52)*(C9)/2</f>
        <v>409.5</v>
      </c>
      <c r="F28" s="493" t="s">
        <v>396</v>
      </c>
      <c r="G28" s="453" t="s">
        <v>390</v>
      </c>
      <c r="H28" s="6"/>
      <c r="J28" s="42"/>
      <c r="K28" s="1145" t="s">
        <v>262</v>
      </c>
      <c r="L28" s="1105">
        <v>50</v>
      </c>
      <c r="M28" s="829"/>
      <c r="N28" s="930"/>
      <c r="O28" s="2"/>
      <c r="P28" s="2"/>
      <c r="Q28" s="2"/>
      <c r="R28" s="2"/>
      <c r="S28" s="2"/>
      <c r="T28" s="2"/>
      <c r="U28" s="6"/>
      <c r="AD28" s="1047">
        <v>1000</v>
      </c>
      <c r="AE28" s="1046">
        <v>270</v>
      </c>
      <c r="AF28" s="1020">
        <v>1.25</v>
      </c>
      <c r="AK28" s="2"/>
    </row>
    <row r="29" spans="2:37" ht="14.25" thickBot="1">
      <c r="B29" s="230"/>
      <c r="D29" s="492" t="s">
        <v>375</v>
      </c>
      <c r="E29" s="438">
        <f>E25</f>
        <v>1350</v>
      </c>
      <c r="F29" s="493" t="s">
        <v>396</v>
      </c>
      <c r="G29" s="41"/>
      <c r="H29" s="6"/>
      <c r="J29" s="42"/>
      <c r="K29" s="1151"/>
      <c r="L29" s="1120">
        <v>0</v>
      </c>
      <c r="M29" s="934">
        <f>SUM(L25:L29)</f>
        <v>500</v>
      </c>
      <c r="N29" s="931">
        <f>+ROUNDUP(M29/5,-1)*5</f>
        <v>500</v>
      </c>
      <c r="O29" s="2"/>
      <c r="P29" s="2"/>
      <c r="Q29" s="2"/>
      <c r="R29" s="2"/>
      <c r="S29" s="2"/>
      <c r="T29" s="2"/>
      <c r="U29" s="6"/>
      <c r="AD29" s="1047">
        <v>985</v>
      </c>
      <c r="AE29" s="1046">
        <v>300</v>
      </c>
      <c r="AF29" s="1060" t="s">
        <v>168</v>
      </c>
      <c r="AK29" s="2"/>
    </row>
    <row r="30" spans="2:37" ht="14.25" thickBot="1">
      <c r="B30" s="230"/>
      <c r="D30" s="494" t="s">
        <v>426</v>
      </c>
      <c r="E30" s="495">
        <f>(E27)+(E28)</f>
        <v>494.17200000000003</v>
      </c>
      <c r="F30" s="496" t="s">
        <v>396</v>
      </c>
      <c r="H30" s="6"/>
      <c r="J30" s="42"/>
      <c r="K30" s="890" t="s">
        <v>376</v>
      </c>
      <c r="L30" s="19" t="s">
        <v>127</v>
      </c>
      <c r="M30" s="77"/>
      <c r="N30" s="77"/>
      <c r="O30" s="2"/>
      <c r="P30" s="2"/>
      <c r="Q30" s="2"/>
      <c r="R30" s="2"/>
      <c r="S30" s="2"/>
      <c r="T30" s="2"/>
      <c r="U30" s="6"/>
      <c r="AD30" s="1047" t="s">
        <v>734</v>
      </c>
      <c r="AE30" s="1046">
        <v>330</v>
      </c>
      <c r="AF30" s="1060" t="s">
        <v>719</v>
      </c>
      <c r="AK30" s="2"/>
    </row>
    <row r="31" spans="2:37">
      <c r="B31" s="68"/>
      <c r="H31" s="6"/>
      <c r="J31" s="42"/>
      <c r="K31" s="2"/>
      <c r="L31" s="2"/>
      <c r="M31" s="2"/>
      <c r="N31" s="2"/>
      <c r="O31" s="2"/>
      <c r="P31" s="2"/>
      <c r="Q31" s="2"/>
      <c r="R31" s="2"/>
      <c r="S31" s="2"/>
      <c r="T31" s="2"/>
      <c r="U31" s="6"/>
      <c r="AD31" s="1048" t="s">
        <v>724</v>
      </c>
      <c r="AE31" s="1046">
        <v>360</v>
      </c>
      <c r="AF31" s="1060" t="s">
        <v>735</v>
      </c>
      <c r="AK31" s="2"/>
    </row>
    <row r="32" spans="2:37">
      <c r="B32" s="230"/>
      <c r="C32" s="1359" t="s">
        <v>488</v>
      </c>
      <c r="D32" s="839" t="s">
        <v>422</v>
      </c>
      <c r="E32" s="1077">
        <v>0.91</v>
      </c>
      <c r="F32" s="951"/>
      <c r="H32" s="6"/>
      <c r="J32" s="1172" t="s">
        <v>120</v>
      </c>
      <c r="K32" s="1153"/>
      <c r="L32" s="77"/>
      <c r="M32" s="77"/>
      <c r="N32" s="77"/>
      <c r="O32" s="2"/>
      <c r="P32" s="2"/>
      <c r="Q32" s="2"/>
      <c r="R32" s="2"/>
      <c r="S32" s="2"/>
      <c r="T32" s="2"/>
      <c r="U32" s="6"/>
      <c r="AD32" s="1048" t="s">
        <v>736</v>
      </c>
      <c r="AE32" s="1046">
        <v>390</v>
      </c>
      <c r="AF32" s="1060" t="s">
        <v>721</v>
      </c>
      <c r="AK32" s="2"/>
    </row>
    <row r="33" spans="2:37" ht="14.25" thickBot="1">
      <c r="B33" s="230"/>
      <c r="C33" s="1360"/>
      <c r="D33" s="316" t="s">
        <v>423</v>
      </c>
      <c r="E33" s="1077">
        <v>0</v>
      </c>
      <c r="F33" s="950" t="s">
        <v>424</v>
      </c>
      <c r="G33" s="182"/>
      <c r="H33" s="34"/>
      <c r="J33" s="42"/>
      <c r="K33" s="884"/>
      <c r="L33" s="684"/>
      <c r="M33" s="684"/>
      <c r="N33" s="28" t="s">
        <v>450</v>
      </c>
      <c r="O33" s="2"/>
      <c r="P33" s="2"/>
      <c r="Q33" s="2"/>
      <c r="R33" s="2"/>
      <c r="S33" s="2"/>
      <c r="T33" s="2"/>
      <c r="U33" s="6"/>
      <c r="AD33" s="1046" t="s">
        <v>183</v>
      </c>
      <c r="AE33" s="1060" t="s">
        <v>189</v>
      </c>
      <c r="AF33" s="1046"/>
      <c r="AK33" s="2"/>
    </row>
    <row r="34" spans="2:37" ht="14.25" thickBot="1">
      <c r="B34" s="310"/>
      <c r="C34" s="476"/>
      <c r="D34" s="2"/>
      <c r="E34" s="2"/>
      <c r="F34" s="2"/>
      <c r="G34" s="2"/>
      <c r="H34" s="6"/>
      <c r="I34" s="2"/>
      <c r="J34" s="711"/>
      <c r="K34" s="706" t="s">
        <v>453</v>
      </c>
      <c r="L34" s="1079">
        <v>1800</v>
      </c>
      <c r="M34" s="51"/>
      <c r="N34" s="28" t="s">
        <v>453</v>
      </c>
      <c r="O34" s="885">
        <v>1800</v>
      </c>
      <c r="P34" s="2"/>
      <c r="Q34" s="2"/>
      <c r="R34" s="2"/>
      <c r="S34" s="2"/>
      <c r="T34" s="2"/>
      <c r="U34" s="6"/>
      <c r="AD34" s="1046" t="s">
        <v>184</v>
      </c>
      <c r="AE34" s="1060" t="s">
        <v>190</v>
      </c>
      <c r="AF34" s="1046"/>
      <c r="AK34" s="2"/>
    </row>
    <row r="35" spans="2:37" ht="14.25" thickBot="1">
      <c r="B35" s="500" t="s">
        <v>143</v>
      </c>
      <c r="C35" s="505"/>
      <c r="D35" s="953" t="s">
        <v>267</v>
      </c>
      <c r="E35" s="952" t="s">
        <v>228</v>
      </c>
      <c r="F35" s="952" t="s">
        <v>229</v>
      </c>
      <c r="G35" s="329"/>
      <c r="H35" s="330"/>
      <c r="I35" s="2"/>
      <c r="J35" s="711"/>
      <c r="K35" s="708" t="s">
        <v>122</v>
      </c>
      <c r="L35" s="1080">
        <v>600</v>
      </c>
      <c r="M35" s="51" t="s">
        <v>121</v>
      </c>
      <c r="N35" s="28" t="s">
        <v>122</v>
      </c>
      <c r="O35" s="885">
        <v>600</v>
      </c>
      <c r="P35" s="2"/>
      <c r="Q35" s="2"/>
      <c r="R35" s="2"/>
      <c r="S35" s="2"/>
      <c r="T35" s="2"/>
      <c r="U35" s="6"/>
      <c r="AD35" s="1046" t="s">
        <v>185</v>
      </c>
      <c r="AE35" s="1062" t="s">
        <v>738</v>
      </c>
      <c r="AF35" s="1046"/>
    </row>
    <row r="36" spans="2:37">
      <c r="B36" s="310"/>
      <c r="C36" s="506" t="s">
        <v>199</v>
      </c>
      <c r="D36" s="511">
        <f>(Q46)*($F$10)*(($C$10)/2-($C$4)/1000)</f>
        <v>496.86</v>
      </c>
      <c r="E36" s="511">
        <f>(Q47)*($F$10)*(($C$10)/2-($C$4)/1000)</f>
        <v>1561.7966000000001</v>
      </c>
      <c r="F36" s="511">
        <f>(Q48)*($F$10)*(($C$10)/2-($C$4)/1000)</f>
        <v>2017.2516000000003</v>
      </c>
      <c r="G36" s="509" t="s">
        <v>237</v>
      </c>
      <c r="H36" s="6"/>
      <c r="I36" s="2"/>
      <c r="J36" s="42"/>
      <c r="K36" s="2"/>
      <c r="L36" s="2"/>
      <c r="M36" s="2"/>
      <c r="N36" s="2"/>
      <c r="O36" s="2"/>
      <c r="P36" s="2"/>
      <c r="Q36" s="2"/>
      <c r="R36" s="2"/>
      <c r="S36" s="2"/>
      <c r="T36" s="2"/>
      <c r="U36" s="6"/>
      <c r="AD36" s="1046" t="s">
        <v>186</v>
      </c>
      <c r="AE36" s="1062" t="s">
        <v>739</v>
      </c>
      <c r="AF36" s="1046"/>
    </row>
    <row r="37" spans="2:37">
      <c r="B37" s="230"/>
      <c r="C37" s="507" t="s">
        <v>357</v>
      </c>
      <c r="D37" s="1353">
        <f>(Q50)*(($C$4)/2000+($C$19)/100)</f>
        <v>738.5</v>
      </c>
      <c r="E37" s="1354"/>
      <c r="F37" s="1355"/>
      <c r="G37" s="510" t="s">
        <v>237</v>
      </c>
      <c r="H37" s="6"/>
      <c r="I37" s="42"/>
      <c r="J37" s="1172" t="s">
        <v>493</v>
      </c>
      <c r="K37" s="1211"/>
      <c r="L37" s="2"/>
      <c r="M37" s="2"/>
      <c r="N37" s="2"/>
      <c r="O37" s="2"/>
      <c r="P37" s="2"/>
      <c r="Q37" s="2"/>
      <c r="R37" s="2"/>
      <c r="S37" s="2"/>
      <c r="T37" s="2"/>
      <c r="U37" s="6"/>
    </row>
    <row r="38" spans="2:37" ht="14.25" thickBot="1">
      <c r="B38" s="230"/>
      <c r="C38" s="508" t="s">
        <v>256</v>
      </c>
      <c r="D38" s="1353">
        <f>(Q49)*(($C$4)/2000+($C$19)/100)</f>
        <v>211</v>
      </c>
      <c r="E38" s="1354"/>
      <c r="F38" s="1355"/>
      <c r="G38" s="514" t="s">
        <v>237</v>
      </c>
      <c r="H38" s="6"/>
      <c r="I38" s="42"/>
      <c r="J38" s="42"/>
      <c r="K38" s="883" t="s">
        <v>218</v>
      </c>
      <c r="L38" s="1232" t="str">
        <f>C17</f>
        <v>一般地(50cm)</v>
      </c>
      <c r="M38" s="1232"/>
      <c r="N38" s="400" t="s">
        <v>213</v>
      </c>
      <c r="O38" s="883">
        <f>IF(L38="一般地(50cm)",20,30)</f>
        <v>20</v>
      </c>
      <c r="P38" s="400" t="s">
        <v>381</v>
      </c>
      <c r="Q38" s="1261" t="s">
        <v>215</v>
      </c>
      <c r="R38" s="1343"/>
      <c r="S38" s="19">
        <f>INDEX(data!I23:'data'!I26,MATCH(L38,data!H23:'data'!H26,0))*O38</f>
        <v>1000</v>
      </c>
      <c r="T38" s="19" t="s">
        <v>127</v>
      </c>
      <c r="U38" s="6"/>
    </row>
    <row r="39" spans="2:37" ht="14.25" thickBot="1">
      <c r="B39" s="230"/>
      <c r="C39" s="494" t="s">
        <v>284</v>
      </c>
      <c r="D39" s="512">
        <f>(D36)+($D$37)+($D$38)</f>
        <v>1446.3600000000001</v>
      </c>
      <c r="E39" s="512">
        <f t="shared" ref="E39:F39" si="0">(E36)+($D$37)+($D$38)</f>
        <v>2511.2966000000001</v>
      </c>
      <c r="F39" s="512">
        <f t="shared" si="0"/>
        <v>2966.7516000000005</v>
      </c>
      <c r="G39" s="513" t="s">
        <v>237</v>
      </c>
      <c r="H39" s="6"/>
      <c r="I39" s="42"/>
      <c r="J39" s="42"/>
      <c r="K39" s="883" t="s">
        <v>219</v>
      </c>
      <c r="L39" s="891" t="str">
        <f>C18</f>
        <v>等　級　１</v>
      </c>
      <c r="M39" s="399"/>
      <c r="N39" s="399"/>
      <c r="O39" s="399"/>
      <c r="P39" s="399"/>
      <c r="Q39" s="399"/>
      <c r="R39" s="399"/>
      <c r="S39" s="2"/>
      <c r="T39" s="2"/>
      <c r="U39" s="6"/>
      <c r="V39" s="2"/>
      <c r="W39" s="2"/>
      <c r="X39" s="2"/>
    </row>
    <row r="40" spans="2:37" ht="14.25" thickBot="1">
      <c r="B40" s="353"/>
      <c r="H40" s="352"/>
      <c r="I40" s="42"/>
      <c r="J40" s="42"/>
      <c r="K40" s="883" t="s">
        <v>201</v>
      </c>
      <c r="L40" s="891" t="s">
        <v>212</v>
      </c>
      <c r="M40" s="1257" t="s">
        <v>214</v>
      </c>
      <c r="N40" s="1343"/>
      <c r="O40" s="222">
        <f>IF(H21="あり",1,IF(E21&gt;60,0,COS(1.5*PI()/180*(E21))^0.5))</f>
        <v>0.91732810180472024</v>
      </c>
      <c r="P40" s="399"/>
      <c r="Q40" s="399"/>
      <c r="R40" s="399"/>
      <c r="S40" s="2"/>
      <c r="T40" s="2"/>
      <c r="U40" s="6"/>
      <c r="V40" s="2"/>
      <c r="W40" s="2"/>
      <c r="X40" s="2"/>
    </row>
    <row r="41" spans="2:37">
      <c r="B41" s="902"/>
      <c r="C41" s="903" t="s">
        <v>101</v>
      </c>
      <c r="D41" s="904" t="s">
        <v>100</v>
      </c>
      <c r="E41" s="904" t="s">
        <v>102</v>
      </c>
      <c r="F41" s="905"/>
      <c r="G41" s="180"/>
      <c r="H41" s="193"/>
      <c r="I41" s="42"/>
      <c r="J41" s="42"/>
      <c r="K41" s="764" t="s">
        <v>217</v>
      </c>
      <c r="L41" s="399"/>
      <c r="M41" s="399"/>
      <c r="N41" s="399"/>
      <c r="O41" s="402">
        <f>(100+C21^2)^0.5/10</f>
        <v>1.0770329614269007</v>
      </c>
      <c r="P41" s="399"/>
      <c r="Q41" s="399"/>
      <c r="R41" s="399"/>
      <c r="S41" s="2"/>
      <c r="T41" s="2"/>
      <c r="U41" s="6"/>
      <c r="V41" s="2"/>
      <c r="W41" s="2"/>
      <c r="X41" s="2"/>
    </row>
    <row r="42" spans="2:37">
      <c r="B42" s="725" t="s">
        <v>15</v>
      </c>
      <c r="C42" s="843"/>
      <c r="D42" s="841">
        <f>(C7)*(C48)*(C13)</f>
        <v>21600</v>
      </c>
      <c r="E42" s="844"/>
      <c r="F42" s="794" t="s">
        <v>11</v>
      </c>
      <c r="G42" s="77"/>
      <c r="H42" s="34"/>
      <c r="I42" s="42"/>
      <c r="J42" s="42"/>
      <c r="K42" s="883" t="s">
        <v>202</v>
      </c>
      <c r="L42" s="1261" t="s">
        <v>340</v>
      </c>
      <c r="M42" s="1343"/>
      <c r="N42" s="1343"/>
      <c r="O42" s="1343"/>
      <c r="P42" s="19">
        <f>ROUNDUP(S38*O40*IF(L38="一般地(50cm)",1,IF(L39="等　級　２",1.2,1)),0)</f>
        <v>918</v>
      </c>
      <c r="Q42" s="19" t="s">
        <v>127</v>
      </c>
      <c r="R42" s="399"/>
      <c r="S42" s="2"/>
      <c r="T42" s="2"/>
      <c r="U42" s="6"/>
      <c r="V42" s="2"/>
      <c r="W42" s="2"/>
      <c r="X42" s="2"/>
    </row>
    <row r="43" spans="2:37">
      <c r="B43" s="725" t="s">
        <v>14</v>
      </c>
      <c r="C43" s="842">
        <f>(D13)*((C7)*(C48)^2)/6</f>
        <v>648000</v>
      </c>
      <c r="D43" s="844"/>
      <c r="E43" s="844"/>
      <c r="F43" s="794" t="s">
        <v>38</v>
      </c>
      <c r="G43" s="77"/>
      <c r="H43" s="34"/>
      <c r="I43" s="42"/>
      <c r="J43" s="42"/>
      <c r="K43" s="883" t="s">
        <v>203</v>
      </c>
      <c r="L43" s="1261" t="s">
        <v>341</v>
      </c>
      <c r="M43" s="1343"/>
      <c r="N43" s="1343"/>
      <c r="O43" s="1343"/>
      <c r="P43" s="19">
        <f>ROUNDUP(0.7*S38*O40*IF(L38="一般地(50cm)",1,IF(L39="等　級　２",1.2,1)),0)</f>
        <v>643</v>
      </c>
      <c r="Q43" s="19" t="s">
        <v>127</v>
      </c>
      <c r="R43" s="399"/>
      <c r="S43" s="2"/>
      <c r="T43" s="2"/>
      <c r="U43" s="6"/>
      <c r="V43" s="2"/>
      <c r="W43" s="2"/>
      <c r="X43" s="2"/>
    </row>
    <row r="44" spans="2:37" ht="14.25" thickBot="1">
      <c r="B44" s="725" t="s">
        <v>10</v>
      </c>
      <c r="C44" s="843"/>
      <c r="D44" s="844"/>
      <c r="E44" s="842">
        <f>(E13)*((C7)*(E48)^3)/12</f>
        <v>58320000</v>
      </c>
      <c r="F44" s="794" t="s">
        <v>39</v>
      </c>
      <c r="G44" s="77"/>
      <c r="H44" s="34"/>
      <c r="I44" s="42"/>
      <c r="J44" s="42"/>
      <c r="K44" s="2"/>
      <c r="L44" s="2"/>
      <c r="M44" s="2"/>
      <c r="N44" s="2"/>
      <c r="O44" s="2"/>
      <c r="P44" s="2"/>
      <c r="Q44" s="2"/>
      <c r="R44" s="2"/>
      <c r="S44" s="2"/>
      <c r="T44" s="2"/>
      <c r="U44" s="6"/>
      <c r="V44" s="2"/>
      <c r="W44" s="2"/>
      <c r="X44" s="2"/>
    </row>
    <row r="45" spans="2:37" ht="14.25" thickBot="1">
      <c r="B45" s="230"/>
      <c r="C45" s="182"/>
      <c r="D45" s="41"/>
      <c r="E45" s="41"/>
      <c r="F45" s="77"/>
      <c r="G45" s="77"/>
      <c r="H45" s="192"/>
      <c r="I45" s="42"/>
      <c r="J45" s="42"/>
      <c r="K45" s="2"/>
      <c r="L45" s="1344" t="s">
        <v>399</v>
      </c>
      <c r="M45" s="1345"/>
      <c r="N45" s="912" t="s">
        <v>124</v>
      </c>
      <c r="O45" s="946" t="s">
        <v>400</v>
      </c>
      <c r="P45" s="917" t="s">
        <v>206</v>
      </c>
      <c r="Q45" s="914"/>
      <c r="R45" s="920"/>
      <c r="S45" s="2"/>
      <c r="T45" s="2"/>
      <c r="U45" s="6"/>
      <c r="V45" s="2"/>
      <c r="W45" s="2"/>
      <c r="X45" s="2"/>
    </row>
    <row r="46" spans="2:37" ht="15" thickTop="1" thickBot="1">
      <c r="B46" s="1289" t="s">
        <v>73</v>
      </c>
      <c r="C46" s="1309"/>
      <c r="D46" s="1309"/>
      <c r="E46" s="1309"/>
      <c r="F46" s="1284" t="s">
        <v>242</v>
      </c>
      <c r="G46" s="1306"/>
      <c r="H46" s="634"/>
      <c r="I46" s="2"/>
      <c r="J46" s="42"/>
      <c r="K46" s="2"/>
      <c r="L46" s="1346" t="s">
        <v>196</v>
      </c>
      <c r="M46" s="1238"/>
      <c r="N46" s="769">
        <f>N14</f>
        <v>300</v>
      </c>
      <c r="O46" s="771">
        <v>0</v>
      </c>
      <c r="P46" s="771">
        <v>0</v>
      </c>
      <c r="Q46" s="773">
        <f>(N46)+(P46)</f>
        <v>300</v>
      </c>
      <c r="R46" s="948"/>
      <c r="S46" s="2"/>
      <c r="T46" s="2"/>
      <c r="U46" s="6"/>
    </row>
    <row r="47" spans="2:37" ht="14.25" thickBot="1">
      <c r="B47" s="1293" t="s">
        <v>44</v>
      </c>
      <c r="C47" s="1307"/>
      <c r="D47" s="1282" t="s">
        <v>43</v>
      </c>
      <c r="E47" s="1307"/>
      <c r="F47" s="1307"/>
      <c r="G47" s="1308"/>
      <c r="H47" s="345"/>
      <c r="I47" s="2"/>
      <c r="J47" s="42"/>
      <c r="K47" s="2"/>
      <c r="L47" s="1346" t="s">
        <v>197</v>
      </c>
      <c r="M47" s="1238"/>
      <c r="N47" s="769">
        <f>N46</f>
        <v>300</v>
      </c>
      <c r="O47" s="771">
        <v>0</v>
      </c>
      <c r="P47" s="771">
        <f>P43</f>
        <v>643</v>
      </c>
      <c r="Q47" s="773">
        <f>(N47)+(P47)</f>
        <v>943</v>
      </c>
      <c r="R47" s="948"/>
      <c r="S47" s="2"/>
      <c r="T47" s="2"/>
      <c r="U47" s="6"/>
    </row>
    <row r="48" spans="2:37" ht="14.25" thickBot="1">
      <c r="B48" s="849">
        <f>C7</f>
        <v>120</v>
      </c>
      <c r="C48" s="850">
        <f>D7</f>
        <v>180</v>
      </c>
      <c r="D48" s="847">
        <f>C7</f>
        <v>120</v>
      </c>
      <c r="E48" s="848">
        <f>E7</f>
        <v>180</v>
      </c>
      <c r="F48" s="1287">
        <f>IF(C17="一般地(50cm)",D124,D134)</f>
        <v>2591.1115200000004</v>
      </c>
      <c r="G48" s="1296"/>
      <c r="H48" s="686"/>
      <c r="I48" s="2"/>
      <c r="J48" s="42"/>
      <c r="K48" s="2"/>
      <c r="L48" s="1346" t="s">
        <v>198</v>
      </c>
      <c r="M48" s="1238"/>
      <c r="N48" s="769">
        <f>N46</f>
        <v>300</v>
      </c>
      <c r="O48" s="771">
        <v>0</v>
      </c>
      <c r="P48" s="771">
        <f>P42</f>
        <v>918</v>
      </c>
      <c r="Q48" s="773">
        <f>(N48)+(P48)</f>
        <v>1218</v>
      </c>
      <c r="R48" s="948"/>
      <c r="S48" s="2"/>
      <c r="T48" s="2"/>
      <c r="U48" s="6"/>
    </row>
    <row r="49" spans="2:24" ht="15" thickTop="1" thickBot="1">
      <c r="I49" s="2"/>
      <c r="J49" s="42"/>
      <c r="K49" s="2"/>
      <c r="L49" s="1352" t="s">
        <v>257</v>
      </c>
      <c r="M49" s="1238"/>
      <c r="N49" s="769">
        <f>N21</f>
        <v>200</v>
      </c>
      <c r="O49" s="771">
        <v>0</v>
      </c>
      <c r="P49" s="771">
        <v>0</v>
      </c>
      <c r="Q49" s="773">
        <f>(N49)</f>
        <v>200</v>
      </c>
      <c r="R49" s="948"/>
      <c r="S49" s="2"/>
      <c r="T49" s="2"/>
      <c r="U49" s="6"/>
    </row>
    <row r="50" spans="2:24" ht="14.25" thickBot="1">
      <c r="B50" s="617" t="s">
        <v>445</v>
      </c>
      <c r="C50" s="620"/>
      <c r="D50" s="804" t="s">
        <v>267</v>
      </c>
      <c r="E50" s="804" t="s">
        <v>228</v>
      </c>
      <c r="F50" s="805" t="s">
        <v>229</v>
      </c>
      <c r="J50" s="42"/>
      <c r="K50" s="2"/>
      <c r="L50" s="1352" t="s">
        <v>358</v>
      </c>
      <c r="M50" s="1238"/>
      <c r="N50" s="865">
        <f>T20</f>
        <v>700</v>
      </c>
      <c r="O50" s="771">
        <v>0</v>
      </c>
      <c r="P50" s="771">
        <v>0</v>
      </c>
      <c r="Q50" s="773">
        <f>(N50)</f>
        <v>700</v>
      </c>
      <c r="R50" s="948"/>
      <c r="S50" s="2"/>
      <c r="T50" s="2"/>
      <c r="U50" s="6"/>
    </row>
    <row r="51" spans="2:24">
      <c r="B51" s="618"/>
      <c r="C51" s="621" t="s">
        <v>231</v>
      </c>
      <c r="D51" s="623" t="str">
        <f>(I83)</f>
        <v>◯</v>
      </c>
      <c r="E51" s="623" t="str">
        <f>(I97)</f>
        <v>◯</v>
      </c>
      <c r="F51" s="624" t="str">
        <f>(I111)</f>
        <v>◯</v>
      </c>
      <c r="G51" s="1175" t="s">
        <v>44</v>
      </c>
      <c r="H51" s="1176"/>
      <c r="I51" s="2"/>
      <c r="J51" s="42"/>
      <c r="K51" s="2"/>
      <c r="L51" s="1322" t="s">
        <v>385</v>
      </c>
      <c r="M51" s="1229"/>
      <c r="N51" s="313">
        <f>T11</f>
        <v>300</v>
      </c>
      <c r="O51" s="918">
        <f>L34</f>
        <v>1800</v>
      </c>
      <c r="P51" s="771">
        <v>0</v>
      </c>
      <c r="Q51" s="915">
        <f>(N51)+(O51)</f>
        <v>2100</v>
      </c>
      <c r="R51" s="462"/>
      <c r="S51" s="2"/>
      <c r="T51" s="2"/>
      <c r="U51" s="6"/>
    </row>
    <row r="52" spans="2:24" ht="14.25" thickBot="1">
      <c r="B52" s="7"/>
      <c r="C52" s="621" t="s">
        <v>321</v>
      </c>
      <c r="D52" s="623" t="str">
        <f>(I129)</f>
        <v>◯</v>
      </c>
      <c r="E52" s="623" t="str">
        <f>(I139)</f>
        <v>◯</v>
      </c>
      <c r="F52" s="624" t="str">
        <f>(I149)</f>
        <v>◯</v>
      </c>
      <c r="G52" s="1275"/>
      <c r="H52" s="1196"/>
      <c r="I52" s="2"/>
      <c r="J52" s="42"/>
      <c r="K52" s="2"/>
      <c r="L52" s="1347" t="s">
        <v>386</v>
      </c>
      <c r="M52" s="1229"/>
      <c r="N52" s="313">
        <f>N51</f>
        <v>300</v>
      </c>
      <c r="O52" s="918">
        <f>L35</f>
        <v>600</v>
      </c>
      <c r="P52" s="771">
        <v>0</v>
      </c>
      <c r="Q52" s="915">
        <f>(N52)+(O52)</f>
        <v>900</v>
      </c>
      <c r="R52" s="462"/>
      <c r="S52" s="2"/>
      <c r="T52" s="2"/>
      <c r="U52" s="6"/>
    </row>
    <row r="53" spans="2:24" ht="14.25" thickBot="1">
      <c r="B53" s="7"/>
      <c r="C53" s="622" t="s">
        <v>343</v>
      </c>
      <c r="D53" s="625" t="str">
        <f>(I174)</f>
        <v>◯</v>
      </c>
      <c r="E53" s="625" t="str">
        <f>(I185)</f>
        <v>◯</v>
      </c>
      <c r="F53" s="626" t="str">
        <f>(I197)</f>
        <v>◯</v>
      </c>
      <c r="G53" s="1179" t="s">
        <v>43</v>
      </c>
      <c r="H53" s="1240"/>
      <c r="I53" s="2"/>
      <c r="J53" s="42"/>
      <c r="K53" s="2"/>
      <c r="L53" s="1348" t="s">
        <v>419</v>
      </c>
      <c r="M53" s="1349"/>
      <c r="N53" s="943">
        <f>N29</f>
        <v>500</v>
      </c>
      <c r="O53" s="945">
        <v>0</v>
      </c>
      <c r="P53" s="945">
        <v>0</v>
      </c>
      <c r="Q53" s="944">
        <f>(N53)</f>
        <v>500</v>
      </c>
      <c r="R53" s="947" t="s">
        <v>121</v>
      </c>
      <c r="S53" s="2"/>
      <c r="T53" s="2"/>
      <c r="U53" s="6"/>
    </row>
    <row r="54" spans="2:24" ht="14.25" thickBot="1">
      <c r="B54" s="7"/>
      <c r="C54" s="7"/>
      <c r="D54" s="2"/>
      <c r="E54" s="2"/>
      <c r="F54" s="2"/>
      <c r="G54" s="2"/>
      <c r="H54" s="2"/>
      <c r="I54" s="2"/>
      <c r="J54" s="765"/>
      <c r="K54" s="14"/>
      <c r="L54" s="14"/>
      <c r="M54" s="14"/>
      <c r="N54" s="14"/>
      <c r="O54" s="14"/>
      <c r="P54" s="14"/>
      <c r="Q54" s="14"/>
      <c r="R54" s="14"/>
      <c r="S54" s="14"/>
      <c r="T54" s="14"/>
      <c r="U54" s="15"/>
    </row>
    <row r="55" spans="2:24" ht="14.25" thickBot="1">
      <c r="B55" s="7"/>
      <c r="C55" s="7"/>
      <c r="D55" s="2"/>
      <c r="E55" s="2"/>
      <c r="F55" s="2"/>
      <c r="G55" s="2"/>
      <c r="H55" s="2"/>
      <c r="I55" s="2"/>
    </row>
    <row r="56" spans="2:24">
      <c r="B56" s="297" t="s">
        <v>231</v>
      </c>
      <c r="C56" s="206"/>
      <c r="D56" s="241"/>
      <c r="E56" s="241"/>
      <c r="F56" s="241"/>
      <c r="G56" s="241"/>
      <c r="H56" s="241"/>
      <c r="I56" s="242"/>
      <c r="X56" s="2"/>
    </row>
    <row r="57" spans="2:24">
      <c r="B57" s="466" t="s">
        <v>221</v>
      </c>
      <c r="C57" s="529" t="s">
        <v>641</v>
      </c>
      <c r="D57" s="88">
        <f>E26</f>
        <v>1040.172</v>
      </c>
      <c r="E57" s="118">
        <f>($F$9)</f>
        <v>1.82</v>
      </c>
      <c r="F57" s="19" t="s">
        <v>88</v>
      </c>
      <c r="G57" s="125">
        <f>((D57)*(E57)*(E57))/8</f>
        <v>430.68321660000004</v>
      </c>
      <c r="H57" s="19" t="s">
        <v>91</v>
      </c>
      <c r="I57" s="533"/>
      <c r="X57" s="2"/>
    </row>
    <row r="58" spans="2:24">
      <c r="B58" s="466" t="s">
        <v>431</v>
      </c>
      <c r="C58" s="247"/>
      <c r="D58" s="17" t="s">
        <v>18</v>
      </c>
      <c r="E58" s="499" t="s">
        <v>92</v>
      </c>
      <c r="F58" s="248"/>
      <c r="G58" s="248"/>
      <c r="H58" s="248"/>
      <c r="I58" s="246"/>
      <c r="J58" s="2"/>
      <c r="K58" s="2"/>
      <c r="X58" s="2"/>
    </row>
    <row r="59" spans="2:24">
      <c r="B59" s="243"/>
      <c r="C59" s="534"/>
      <c r="D59" s="88"/>
      <c r="E59" s="118"/>
      <c r="F59" s="19"/>
      <c r="G59" s="125"/>
      <c r="H59" s="19"/>
      <c r="I59" s="532"/>
      <c r="X59" s="2"/>
    </row>
    <row r="60" spans="2:24">
      <c r="B60" s="387" t="s">
        <v>221</v>
      </c>
      <c r="C60" s="529" t="s">
        <v>653</v>
      </c>
      <c r="D60" s="548">
        <f>E25</f>
        <v>1350</v>
      </c>
      <c r="E60" s="549">
        <f>E32</f>
        <v>0.91</v>
      </c>
      <c r="F60" s="550">
        <f>F9</f>
        <v>1.82</v>
      </c>
      <c r="G60" s="549">
        <f>((E32)/2+(F9)-(E32)-(0))</f>
        <v>1.3649999999999998</v>
      </c>
      <c r="H60" s="551">
        <f>((0)+(2*(E32)*((F9)-(E32)-(0))))+(E32)*(E32)</f>
        <v>2.4843000000000002</v>
      </c>
      <c r="I60" s="520"/>
      <c r="X60" s="2"/>
    </row>
    <row r="61" spans="2:24">
      <c r="B61" s="466" t="s">
        <v>425</v>
      </c>
      <c r="C61" s="530"/>
      <c r="D61" s="552" t="s">
        <v>71</v>
      </c>
      <c r="E61" s="339"/>
      <c r="F61" s="552" t="s">
        <v>427</v>
      </c>
      <c r="G61" s="339"/>
      <c r="H61" s="518"/>
      <c r="I61" s="6"/>
    </row>
    <row r="62" spans="2:24">
      <c r="B62" s="310"/>
      <c r="C62" s="530"/>
      <c r="D62" s="553">
        <f>F9</f>
        <v>1.82</v>
      </c>
      <c r="E62" s="554">
        <v>4</v>
      </c>
      <c r="F62" s="552" t="s">
        <v>99</v>
      </c>
      <c r="G62" s="602">
        <f>(D60)*(E60)*(G60)/(F60)*((H60)/(D62)/4)</f>
        <v>314.41921874999991</v>
      </c>
      <c r="H62" s="339"/>
      <c r="I62" s="6"/>
    </row>
    <row r="63" spans="2:24">
      <c r="B63" s="310"/>
      <c r="C63" s="530"/>
      <c r="D63" s="552" t="s">
        <v>427</v>
      </c>
      <c r="E63" s="339"/>
      <c r="F63" s="339"/>
      <c r="G63" s="339"/>
      <c r="H63" s="339"/>
      <c r="I63" s="6"/>
    </row>
    <row r="64" spans="2:24">
      <c r="B64" s="310"/>
      <c r="C64" s="519" t="s">
        <v>430</v>
      </c>
      <c r="D64" s="555">
        <f>E25</f>
        <v>1350</v>
      </c>
      <c r="E64" s="556">
        <f>E33</f>
        <v>0</v>
      </c>
      <c r="F64" s="553">
        <f>F9</f>
        <v>1.82</v>
      </c>
      <c r="G64" s="556">
        <f>((E33)/2+(F9)-(E33)-(0))</f>
        <v>1.82</v>
      </c>
      <c r="H64" s="557">
        <f>((0)+(2*(E33)*((F9)-(E33)-(0))))+(E33)*(E33)</f>
        <v>0</v>
      </c>
      <c r="I64" s="6"/>
    </row>
    <row r="65" spans="2:10">
      <c r="B65" s="310"/>
      <c r="C65" s="530"/>
      <c r="D65" s="552" t="s">
        <v>71</v>
      </c>
      <c r="E65" s="339"/>
      <c r="F65" s="552" t="s">
        <v>427</v>
      </c>
      <c r="G65" s="339"/>
      <c r="H65" s="518"/>
      <c r="I65" s="6"/>
    </row>
    <row r="66" spans="2:10">
      <c r="B66" s="310"/>
      <c r="C66" s="530"/>
      <c r="D66" s="553">
        <f>F9</f>
        <v>1.82</v>
      </c>
      <c r="E66" s="554">
        <v>4</v>
      </c>
      <c r="F66" s="552" t="s">
        <v>99</v>
      </c>
      <c r="G66" s="602">
        <f>(D64)*(E64)*(G64)/(F64)*((H64)/(D66)/4)</f>
        <v>0</v>
      </c>
      <c r="H66" s="339"/>
      <c r="I66" s="6"/>
      <c r="J66" s="483"/>
    </row>
    <row r="67" spans="2:10">
      <c r="B67" s="310"/>
      <c r="D67" s="25" t="s">
        <v>427</v>
      </c>
      <c r="I67" s="6"/>
    </row>
    <row r="68" spans="2:10" ht="7.5" customHeight="1">
      <c r="B68" s="536"/>
      <c r="C68" s="537"/>
      <c r="D68" s="538"/>
      <c r="E68" s="538"/>
      <c r="F68" s="538"/>
      <c r="G68" s="538"/>
      <c r="H68" s="538"/>
      <c r="I68" s="539"/>
    </row>
    <row r="69" spans="2:10">
      <c r="B69" s="527" t="s">
        <v>143</v>
      </c>
      <c r="C69" s="641"/>
      <c r="D69" s="641"/>
      <c r="E69" s="641"/>
      <c r="F69" s="641"/>
      <c r="G69" s="641"/>
      <c r="H69" s="641"/>
      <c r="I69" s="382"/>
    </row>
    <row r="70" spans="2:10">
      <c r="B70" s="310"/>
      <c r="C70" s="404" t="s">
        <v>144</v>
      </c>
      <c r="D70" s="92"/>
      <c r="E70" s="152" t="s">
        <v>145</v>
      </c>
      <c r="F70" s="19" t="s">
        <v>152</v>
      </c>
      <c r="G70" s="19"/>
      <c r="H70" s="19"/>
      <c r="I70" s="89"/>
    </row>
    <row r="71" spans="2:10">
      <c r="B71" s="469"/>
      <c r="C71" s="117" t="s">
        <v>584</v>
      </c>
      <c r="D71" s="102" t="s">
        <v>146</v>
      </c>
      <c r="E71" s="45">
        <f>E32</f>
        <v>0.91</v>
      </c>
      <c r="F71" s="19" t="s">
        <v>150</v>
      </c>
      <c r="G71" s="19"/>
      <c r="H71" s="159">
        <f>(D39)*(E71)*(F9-E71)/(F9)</f>
        <v>658.0938000000001</v>
      </c>
      <c r="I71" s="89" t="s">
        <v>91</v>
      </c>
    </row>
    <row r="72" spans="2:10">
      <c r="B72" s="310"/>
      <c r="C72" s="404" t="s">
        <v>147</v>
      </c>
      <c r="D72" s="92"/>
      <c r="E72" s="152" t="s">
        <v>145</v>
      </c>
      <c r="F72" s="19" t="s">
        <v>153</v>
      </c>
      <c r="G72" s="19"/>
      <c r="H72" s="19"/>
      <c r="I72" s="89"/>
      <c r="J72" s="248"/>
    </row>
    <row r="73" spans="2:10">
      <c r="B73" s="469"/>
      <c r="C73" s="117" t="s">
        <v>585</v>
      </c>
      <c r="D73" s="102" t="s">
        <v>148</v>
      </c>
      <c r="E73" s="45">
        <f>E33</f>
        <v>0</v>
      </c>
      <c r="F73" s="19" t="s">
        <v>151</v>
      </c>
      <c r="G73" s="19"/>
      <c r="H73" s="159">
        <f>(D39)*(E73)*(F9-E73)/(F9)</f>
        <v>0</v>
      </c>
      <c r="I73" s="19" t="s">
        <v>91</v>
      </c>
      <c r="J73" s="483"/>
    </row>
    <row r="74" spans="2:10">
      <c r="B74" s="310"/>
      <c r="C74" s="403" t="s">
        <v>149</v>
      </c>
      <c r="D74" s="32"/>
      <c r="E74" s="33"/>
      <c r="F74" s="248"/>
      <c r="G74" s="248"/>
      <c r="H74" s="248"/>
      <c r="I74" s="248"/>
      <c r="J74" s="483"/>
    </row>
    <row r="75" spans="2:10">
      <c r="B75" s="243"/>
      <c r="C75" s="60" t="s">
        <v>586</v>
      </c>
      <c r="D75" s="60" t="s">
        <v>654</v>
      </c>
      <c r="E75" s="154">
        <f>IF(E71&gt;=E73,(F9-E71),E71)</f>
        <v>0.91</v>
      </c>
      <c r="F75" s="19">
        <f>IF(E71&gt;=E73,F9-E73,E73)</f>
        <v>1.82</v>
      </c>
      <c r="G75" s="155" t="s">
        <v>154</v>
      </c>
      <c r="H75" s="19">
        <f>(H71)+(H73)*(E75)/(F75)</f>
        <v>658.0938000000001</v>
      </c>
      <c r="I75" s="19" t="s">
        <v>91</v>
      </c>
      <c r="J75" s="483"/>
    </row>
    <row r="76" spans="2:10">
      <c r="B76" s="310"/>
      <c r="C76" s="403" t="s">
        <v>155</v>
      </c>
      <c r="D76" s="40"/>
      <c r="E76" s="152"/>
      <c r="F76" s="19"/>
      <c r="G76" s="19"/>
      <c r="H76" s="19"/>
      <c r="I76" s="19"/>
      <c r="J76" s="483"/>
    </row>
    <row r="77" spans="2:10">
      <c r="B77" s="470"/>
      <c r="C77" s="529" t="s">
        <v>655</v>
      </c>
      <c r="D77" s="60" t="s">
        <v>656</v>
      </c>
      <c r="E77" s="154">
        <f>IF(H73=0,0,F9-F75)</f>
        <v>0</v>
      </c>
      <c r="F77" s="159">
        <f>F9-E77</f>
        <v>1.82</v>
      </c>
      <c r="G77" s="155" t="s">
        <v>154</v>
      </c>
      <c r="H77" s="19">
        <f>IF(E73=0,0,((H73)+(H71)*(E77)/(F77)))</f>
        <v>0</v>
      </c>
      <c r="I77" s="19" t="s">
        <v>91</v>
      </c>
      <c r="J77" s="483"/>
    </row>
    <row r="78" spans="2:10">
      <c r="B78" s="310"/>
      <c r="C78" s="404" t="s">
        <v>157</v>
      </c>
      <c r="D78" s="158">
        <f>(G57)+(G62)+(G66)+(H78)</f>
        <v>1403.1962353500001</v>
      </c>
      <c r="E78" s="51" t="s">
        <v>91</v>
      </c>
      <c r="F78" s="472" t="s">
        <v>267</v>
      </c>
      <c r="G78" s="248"/>
      <c r="H78" s="1020">
        <f>MAX(H75,H77)</f>
        <v>658.0938000000001</v>
      </c>
      <c r="I78" s="248"/>
      <c r="J78" s="521"/>
    </row>
    <row r="79" spans="2:10">
      <c r="B79" s="470"/>
      <c r="C79" s="252" t="s">
        <v>9</v>
      </c>
      <c r="D79" s="407"/>
      <c r="E79" s="248"/>
      <c r="F79" s="248"/>
      <c r="G79" s="248"/>
      <c r="H79" s="248"/>
      <c r="I79" s="248"/>
      <c r="J79" s="42"/>
    </row>
    <row r="80" spans="2:10">
      <c r="B80" s="310"/>
      <c r="C80" s="60" t="s">
        <v>581</v>
      </c>
      <c r="D80" s="60" t="s">
        <v>590</v>
      </c>
      <c r="E80" s="19" t="s">
        <v>21</v>
      </c>
      <c r="F80" s="159">
        <f>((D78)*1000)/(C43)</f>
        <v>2.1654262891203704</v>
      </c>
      <c r="G80" s="19" t="s">
        <v>20</v>
      </c>
      <c r="H80" s="19"/>
      <c r="I80" s="19"/>
      <c r="J80" s="521"/>
    </row>
    <row r="81" spans="2:10">
      <c r="B81" s="243"/>
      <c r="C81" s="414"/>
      <c r="D81" s="19"/>
      <c r="E81" s="19"/>
      <c r="F81" s="19"/>
      <c r="G81" s="414"/>
      <c r="H81" s="19"/>
      <c r="I81" s="19"/>
      <c r="J81" s="483"/>
    </row>
    <row r="82" spans="2:10">
      <c r="B82" s="243"/>
      <c r="C82" s="1009" t="s">
        <v>94</v>
      </c>
      <c r="D82" s="19" t="s">
        <v>89</v>
      </c>
      <c r="E82" s="119">
        <f>C14</f>
        <v>1</v>
      </c>
      <c r="F82" s="159">
        <f>1.1*(data!K20)/3</f>
        <v>13.019453333333333</v>
      </c>
      <c r="G82" s="120">
        <f>C14</f>
        <v>1</v>
      </c>
      <c r="H82" s="280">
        <f>(F82)*(G82)</f>
        <v>13.019453333333333</v>
      </c>
      <c r="I82" s="19" t="s">
        <v>20</v>
      </c>
      <c r="J82" s="483"/>
    </row>
    <row r="83" spans="2:10" ht="14.25" thickBot="1">
      <c r="B83" s="261"/>
      <c r="C83" s="253"/>
      <c r="D83" s="254"/>
      <c r="E83" s="581" t="s">
        <v>371</v>
      </c>
      <c r="F83" s="254"/>
      <c r="G83" s="62" t="s">
        <v>17</v>
      </c>
      <c r="H83" s="175" t="s">
        <v>322</v>
      </c>
      <c r="I83" s="619" t="str">
        <f>IF(F80&lt;=H82,"◯","×")</f>
        <v>◯</v>
      </c>
      <c r="J83" s="483"/>
    </row>
    <row r="84" spans="2:10">
      <c r="B84" s="310"/>
      <c r="C84" s="404" t="s">
        <v>144</v>
      </c>
      <c r="D84" s="92"/>
      <c r="E84" s="152" t="s">
        <v>145</v>
      </c>
      <c r="F84" s="19" t="s">
        <v>152</v>
      </c>
      <c r="G84" s="19"/>
      <c r="H84" s="19"/>
      <c r="I84" s="19"/>
      <c r="J84" s="483"/>
    </row>
    <row r="85" spans="2:10">
      <c r="B85" s="469"/>
      <c r="C85" s="117" t="s">
        <v>584</v>
      </c>
      <c r="D85" s="102" t="s">
        <v>146</v>
      </c>
      <c r="E85" s="152">
        <f>E32</f>
        <v>0.91</v>
      </c>
      <c r="F85" s="19" t="s">
        <v>150</v>
      </c>
      <c r="G85" s="19"/>
      <c r="H85" s="159">
        <f>(E39)*(E85)*(F9-E85)/(F9)</f>
        <v>1142.6399530000001</v>
      </c>
      <c r="I85" s="19" t="s">
        <v>91</v>
      </c>
      <c r="J85" s="483"/>
    </row>
    <row r="86" spans="2:10">
      <c r="B86" s="310"/>
      <c r="C86" s="404" t="s">
        <v>147</v>
      </c>
      <c r="D86" s="92"/>
      <c r="E86" s="152" t="s">
        <v>145</v>
      </c>
      <c r="F86" s="19" t="s">
        <v>153</v>
      </c>
      <c r="G86" s="19"/>
      <c r="H86" s="283"/>
      <c r="I86" s="92"/>
      <c r="J86" s="42"/>
    </row>
    <row r="87" spans="2:10">
      <c r="B87" s="469"/>
      <c r="C87" s="117" t="s">
        <v>585</v>
      </c>
      <c r="D87" s="102" t="s">
        <v>148</v>
      </c>
      <c r="E87" s="152">
        <f>E33</f>
        <v>0</v>
      </c>
      <c r="F87" s="19" t="s">
        <v>151</v>
      </c>
      <c r="G87" s="19"/>
      <c r="H87" s="159">
        <f>(E39)*(E87)*(F9-E87)/(F9)</f>
        <v>0</v>
      </c>
      <c r="I87" s="19" t="s">
        <v>91</v>
      </c>
      <c r="J87" s="483"/>
    </row>
    <row r="88" spans="2:10">
      <c r="B88" s="310"/>
      <c r="C88" s="403" t="s">
        <v>149</v>
      </c>
      <c r="D88" s="32"/>
      <c r="E88" s="33"/>
      <c r="F88" s="248"/>
      <c r="G88" s="248"/>
      <c r="H88" s="260"/>
      <c r="I88" s="248"/>
      <c r="J88" s="483"/>
    </row>
    <row r="89" spans="2:10">
      <c r="B89" s="243"/>
      <c r="C89" s="60" t="s">
        <v>586</v>
      </c>
      <c r="D89" s="60" t="s">
        <v>654</v>
      </c>
      <c r="E89" s="154">
        <f>IF(E85&gt;=E87,(F9-E85),E85)</f>
        <v>0.91</v>
      </c>
      <c r="F89" s="19">
        <f>IF(E85&gt;=E87,F9-E87,E87)</f>
        <v>1.82</v>
      </c>
      <c r="G89" s="284" t="s">
        <v>154</v>
      </c>
      <c r="H89" s="283">
        <f>(H85)+(H87)*(E89)/(F89)</f>
        <v>1142.6399530000001</v>
      </c>
      <c r="I89" s="19" t="s">
        <v>91</v>
      </c>
      <c r="J89" s="483"/>
    </row>
    <row r="90" spans="2:10">
      <c r="B90" s="310"/>
      <c r="C90" s="403" t="s">
        <v>155</v>
      </c>
      <c r="D90" s="40"/>
      <c r="E90" s="33"/>
      <c r="F90" s="19"/>
      <c r="G90" s="19"/>
      <c r="H90" s="283"/>
      <c r="I90" s="19"/>
      <c r="J90" s="483"/>
    </row>
    <row r="91" spans="2:10">
      <c r="B91" s="470"/>
      <c r="C91" s="60" t="s">
        <v>588</v>
      </c>
      <c r="D91" s="1006" t="s">
        <v>657</v>
      </c>
      <c r="E91" s="154">
        <f>IF(H87=0,0,F9-F89)</f>
        <v>0</v>
      </c>
      <c r="F91" s="159">
        <f>F9-E91</f>
        <v>1.82</v>
      </c>
      <c r="G91" s="155" t="s">
        <v>154</v>
      </c>
      <c r="H91" s="19">
        <f>IF(E87=0,0,((H87)+(H85)*(E91)/(F91)))</f>
        <v>0</v>
      </c>
      <c r="I91" s="19" t="s">
        <v>91</v>
      </c>
      <c r="J91" s="483"/>
    </row>
    <row r="92" spans="2:10">
      <c r="B92" s="310"/>
      <c r="C92" s="404" t="s">
        <v>157</v>
      </c>
      <c r="D92" s="158">
        <f>(G57)+(G62)+(G66)+(H92)</f>
        <v>1887.7423883500001</v>
      </c>
      <c r="E92" s="51" t="s">
        <v>91</v>
      </c>
      <c r="F92" s="851" t="s">
        <v>228</v>
      </c>
      <c r="G92" s="248"/>
      <c r="H92" s="1020">
        <f>MAX(H89,H91)</f>
        <v>1142.6399530000001</v>
      </c>
      <c r="I92" s="248"/>
      <c r="J92" s="521"/>
    </row>
    <row r="93" spans="2:10">
      <c r="B93" s="470"/>
      <c r="C93" s="498" t="s">
        <v>231</v>
      </c>
      <c r="D93" s="407"/>
      <c r="E93" s="248"/>
      <c r="F93" s="248"/>
      <c r="G93" s="248"/>
      <c r="H93" s="248"/>
      <c r="I93" s="248"/>
      <c r="J93" s="42"/>
    </row>
    <row r="94" spans="2:10">
      <c r="B94" s="310"/>
      <c r="C94" s="60" t="s">
        <v>582</v>
      </c>
      <c r="D94" s="60" t="s">
        <v>591</v>
      </c>
      <c r="E94" s="19" t="s">
        <v>21</v>
      </c>
      <c r="F94" s="159">
        <f>((D92)*1000)/(C43)</f>
        <v>2.9131826980709881</v>
      </c>
      <c r="G94" s="19" t="s">
        <v>20</v>
      </c>
      <c r="H94" s="19"/>
      <c r="I94" s="19"/>
      <c r="J94" s="521"/>
    </row>
    <row r="95" spans="2:10">
      <c r="B95" s="243"/>
      <c r="C95" s="414"/>
      <c r="D95" s="19"/>
      <c r="E95" s="19"/>
      <c r="F95" s="19"/>
      <c r="G95" s="414"/>
      <c r="H95" s="19"/>
      <c r="I95" s="19"/>
      <c r="J95" s="483"/>
    </row>
    <row r="96" spans="2:10">
      <c r="B96" s="243"/>
      <c r="C96" s="1009" t="s">
        <v>94</v>
      </c>
      <c r="D96" s="414" t="s">
        <v>288</v>
      </c>
      <c r="E96" s="119">
        <f>C14</f>
        <v>1</v>
      </c>
      <c r="F96" s="159">
        <f>1.3*1.1*(data!K20)/3</f>
        <v>16.925289333333335</v>
      </c>
      <c r="G96" s="120">
        <f>C14</f>
        <v>1</v>
      </c>
      <c r="H96" s="159">
        <f>(F96)*(G96)</f>
        <v>16.925289333333335</v>
      </c>
      <c r="I96" s="19" t="s">
        <v>20</v>
      </c>
      <c r="J96" s="483"/>
    </row>
    <row r="97" spans="2:12" ht="14.25" thickBot="1">
      <c r="B97" s="261"/>
      <c r="C97" s="253"/>
      <c r="D97" s="254"/>
      <c r="E97" s="378" t="s">
        <v>371</v>
      </c>
      <c r="F97" s="254"/>
      <c r="G97" s="375" t="s">
        <v>17</v>
      </c>
      <c r="H97" s="175" t="s">
        <v>322</v>
      </c>
      <c r="I97" s="619" t="str">
        <f>IF(F94&lt;=H96,"◯","×")</f>
        <v>◯</v>
      </c>
      <c r="J97" s="483"/>
    </row>
    <row r="98" spans="2:12">
      <c r="B98" s="310"/>
      <c r="C98" s="404" t="s">
        <v>144</v>
      </c>
      <c r="D98" s="92"/>
      <c r="E98" s="152" t="s">
        <v>145</v>
      </c>
      <c r="F98" s="19" t="s">
        <v>152</v>
      </c>
      <c r="G98" s="19"/>
      <c r="H98" s="19"/>
      <c r="I98" s="19"/>
      <c r="J98" s="483"/>
    </row>
    <row r="99" spans="2:12">
      <c r="B99" s="469"/>
      <c r="C99" s="117" t="s">
        <v>584</v>
      </c>
      <c r="D99" s="102" t="s">
        <v>146</v>
      </c>
      <c r="E99" s="152">
        <f>E32</f>
        <v>0.91</v>
      </c>
      <c r="F99" s="19" t="s">
        <v>150</v>
      </c>
      <c r="G99" s="19"/>
      <c r="H99" s="159">
        <f>(F39)*(E99)*(F9-E99)/(F9)</f>
        <v>1349.8719780000004</v>
      </c>
      <c r="I99" s="19" t="s">
        <v>91</v>
      </c>
      <c r="J99" s="483"/>
    </row>
    <row r="100" spans="2:12">
      <c r="B100" s="310"/>
      <c r="C100" s="404" t="s">
        <v>147</v>
      </c>
      <c r="D100" s="92"/>
      <c r="E100" s="152" t="s">
        <v>145</v>
      </c>
      <c r="F100" s="19" t="s">
        <v>153</v>
      </c>
      <c r="G100" s="19"/>
      <c r="H100" s="283"/>
      <c r="I100" s="92"/>
      <c r="J100" s="42"/>
      <c r="K100" s="2"/>
      <c r="L100" s="2"/>
    </row>
    <row r="101" spans="2:12">
      <c r="B101" s="469"/>
      <c r="C101" s="117" t="s">
        <v>585</v>
      </c>
      <c r="D101" s="102" t="s">
        <v>148</v>
      </c>
      <c r="E101" s="152">
        <f>(E33)</f>
        <v>0</v>
      </c>
      <c r="F101" s="19" t="s">
        <v>151</v>
      </c>
      <c r="G101" s="19"/>
      <c r="H101" s="159">
        <f>(F39)*(E101)*(F9-E101)/(F9)</f>
        <v>0</v>
      </c>
      <c r="I101" s="19" t="s">
        <v>91</v>
      </c>
      <c r="J101" s="483"/>
      <c r="K101" s="2"/>
      <c r="L101" s="2"/>
    </row>
    <row r="102" spans="2:12">
      <c r="B102" s="310"/>
      <c r="C102" s="403" t="s">
        <v>149</v>
      </c>
      <c r="D102" s="32"/>
      <c r="E102" s="33"/>
      <c r="F102" s="248"/>
      <c r="G102" s="248"/>
      <c r="H102" s="260"/>
      <c r="I102" s="248"/>
      <c r="J102" s="483"/>
      <c r="K102" s="2"/>
      <c r="L102" s="2"/>
    </row>
    <row r="103" spans="2:12">
      <c r="B103" s="243"/>
      <c r="C103" s="60" t="s">
        <v>586</v>
      </c>
      <c r="D103" s="616" t="s">
        <v>658</v>
      </c>
      <c r="E103" s="154">
        <f>IF(E99&gt;=E101,(F9-E99),E99)</f>
        <v>0.91</v>
      </c>
      <c r="F103" s="19">
        <f>IF(E99&gt;=E101,F9-E101,E101)</f>
        <v>1.82</v>
      </c>
      <c r="G103" s="284" t="s">
        <v>154</v>
      </c>
      <c r="H103" s="283">
        <f>(H99)+(H101)*(E103)/(F103)</f>
        <v>1349.8719780000004</v>
      </c>
      <c r="I103" s="19" t="s">
        <v>91</v>
      </c>
      <c r="J103" s="483"/>
      <c r="K103" s="2"/>
      <c r="L103" s="2"/>
    </row>
    <row r="104" spans="2:12">
      <c r="B104" s="310"/>
      <c r="C104" s="403" t="s">
        <v>155</v>
      </c>
      <c r="D104" s="40"/>
      <c r="E104" s="33"/>
      <c r="F104" s="19"/>
      <c r="G104" s="19"/>
      <c r="H104" s="283"/>
      <c r="I104" s="19"/>
      <c r="J104" s="483"/>
      <c r="K104" s="2"/>
      <c r="L104" s="2"/>
    </row>
    <row r="105" spans="2:12">
      <c r="B105" s="470"/>
      <c r="C105" s="60" t="s">
        <v>588</v>
      </c>
      <c r="D105" s="60" t="s">
        <v>648</v>
      </c>
      <c r="E105" s="154">
        <f>IF(H101=0,0,F9-F103)</f>
        <v>0</v>
      </c>
      <c r="F105" s="159">
        <f>F9-E105</f>
        <v>1.82</v>
      </c>
      <c r="G105" s="155" t="s">
        <v>154</v>
      </c>
      <c r="H105" s="283">
        <f>IF(E101=0,0,(H101)+(H99)*(E105)/(F105))</f>
        <v>0</v>
      </c>
      <c r="I105" s="19" t="s">
        <v>91</v>
      </c>
      <c r="J105" s="483"/>
      <c r="K105" s="2"/>
      <c r="L105" s="2"/>
    </row>
    <row r="106" spans="2:12">
      <c r="B106" s="310"/>
      <c r="C106" s="404" t="s">
        <v>157</v>
      </c>
      <c r="D106" s="158">
        <f>(G57)+(G62)+(G66)+(H106)</f>
        <v>2094.9744133500003</v>
      </c>
      <c r="E106" s="51" t="s">
        <v>91</v>
      </c>
      <c r="F106" s="851" t="s">
        <v>229</v>
      </c>
      <c r="G106" s="248"/>
      <c r="H106" s="1020">
        <f>MAX(H103,H105)</f>
        <v>1349.8719780000004</v>
      </c>
      <c r="I106" s="248"/>
      <c r="J106" s="521"/>
      <c r="K106" s="2"/>
      <c r="L106" s="2"/>
    </row>
    <row r="107" spans="2:12">
      <c r="B107" s="470"/>
      <c r="C107" s="498" t="s">
        <v>231</v>
      </c>
      <c r="D107" s="407"/>
      <c r="E107" s="248"/>
      <c r="F107" s="248"/>
      <c r="G107" s="248"/>
      <c r="H107" s="248"/>
      <c r="I107" s="248"/>
      <c r="J107" s="42"/>
      <c r="K107" s="2"/>
      <c r="L107" s="2"/>
    </row>
    <row r="108" spans="2:12">
      <c r="B108" s="310"/>
      <c r="C108" s="60" t="s">
        <v>594</v>
      </c>
      <c r="D108" s="117" t="s">
        <v>596</v>
      </c>
      <c r="E108" s="19" t="s">
        <v>21</v>
      </c>
      <c r="F108" s="159">
        <f>((D106)*1000)/(C43)</f>
        <v>3.2329852057870374</v>
      </c>
      <c r="G108" s="19" t="s">
        <v>20</v>
      </c>
      <c r="H108" s="19"/>
      <c r="I108" s="248"/>
      <c r="J108" s="521"/>
      <c r="K108" s="2"/>
      <c r="L108" s="2"/>
    </row>
    <row r="109" spans="2:12">
      <c r="B109" s="243"/>
      <c r="C109" s="414"/>
      <c r="D109" s="19"/>
      <c r="E109" s="19"/>
      <c r="F109" s="19"/>
      <c r="G109" s="414"/>
      <c r="H109" s="19"/>
      <c r="I109" s="248"/>
      <c r="J109" s="483"/>
      <c r="K109" s="2"/>
      <c r="L109" s="2"/>
    </row>
    <row r="110" spans="2:12">
      <c r="B110" s="243"/>
      <c r="C110" s="1009" t="s">
        <v>94</v>
      </c>
      <c r="D110" s="414" t="s">
        <v>289</v>
      </c>
      <c r="E110" s="119">
        <f>C14</f>
        <v>1</v>
      </c>
      <c r="F110" s="159">
        <f>0.8*2*(data!K20)/3</f>
        <v>18.937386666666665</v>
      </c>
      <c r="G110" s="120">
        <f>C14</f>
        <v>1</v>
      </c>
      <c r="H110" s="159">
        <f>(F110)*(G110)</f>
        <v>18.937386666666665</v>
      </c>
      <c r="I110" s="51" t="s">
        <v>20</v>
      </c>
      <c r="J110" s="483"/>
      <c r="K110" s="2"/>
      <c r="L110" s="2"/>
    </row>
    <row r="111" spans="2:12" ht="14.25" thickBot="1">
      <c r="B111" s="359"/>
      <c r="C111" s="360"/>
      <c r="D111" s="361"/>
      <c r="E111" s="379" t="s">
        <v>371</v>
      </c>
      <c r="F111" s="361"/>
      <c r="G111" s="376" t="s">
        <v>17</v>
      </c>
      <c r="H111" s="175" t="s">
        <v>322</v>
      </c>
      <c r="I111" s="619" t="str">
        <f>IF(F108&lt;=H110,"◯","×")</f>
        <v>◯</v>
      </c>
      <c r="J111" s="483"/>
      <c r="K111" s="2"/>
      <c r="L111" s="2"/>
    </row>
    <row r="112" spans="2:12">
      <c r="B112" s="297" t="s">
        <v>321</v>
      </c>
      <c r="C112" s="298"/>
      <c r="D112" s="298"/>
      <c r="E112" s="241"/>
      <c r="F112" s="241"/>
      <c r="G112" s="241"/>
      <c r="H112" s="241"/>
      <c r="I112" s="241"/>
      <c r="J112" s="483"/>
      <c r="K112" s="2"/>
      <c r="L112" s="2"/>
    </row>
    <row r="113" spans="2:12">
      <c r="B113" s="527" t="s">
        <v>221</v>
      </c>
      <c r="C113" s="574" t="s">
        <v>659</v>
      </c>
      <c r="D113" s="88">
        <f>(E26)</f>
        <v>1040.172</v>
      </c>
      <c r="E113" s="118">
        <f>($F$9)</f>
        <v>1.82</v>
      </c>
      <c r="F113" s="412" t="s">
        <v>95</v>
      </c>
      <c r="G113" s="125">
        <f>(D113)*(E113)/2</f>
        <v>946.55652000000009</v>
      </c>
      <c r="H113" s="19" t="s">
        <v>31</v>
      </c>
      <c r="I113" s="541"/>
      <c r="J113" s="483"/>
      <c r="K113" s="2"/>
      <c r="L113" s="2"/>
    </row>
    <row r="114" spans="2:12">
      <c r="B114" s="466" t="s">
        <v>431</v>
      </c>
      <c r="C114" s="519"/>
      <c r="D114" s="17" t="s">
        <v>18</v>
      </c>
      <c r="E114" s="407" t="s">
        <v>92</v>
      </c>
      <c r="F114" s="248"/>
      <c r="G114" s="248"/>
      <c r="H114" s="248"/>
      <c r="I114" s="248"/>
      <c r="J114" s="42"/>
      <c r="K114" s="2"/>
      <c r="L114" s="2"/>
    </row>
    <row r="115" spans="2:12" ht="7.5" customHeight="1">
      <c r="B115" s="261"/>
      <c r="C115" s="531"/>
      <c r="D115" s="542"/>
      <c r="E115" s="543"/>
      <c r="F115" s="484"/>
      <c r="G115" s="544"/>
      <c r="H115" s="391"/>
      <c r="I115" s="545"/>
      <c r="J115" s="483"/>
      <c r="K115" s="248"/>
      <c r="L115" s="2"/>
    </row>
    <row r="116" spans="2:12">
      <c r="B116" s="466" t="s">
        <v>221</v>
      </c>
      <c r="C116" s="529" t="s">
        <v>660</v>
      </c>
      <c r="D116" s="196">
        <f>E25</f>
        <v>1350</v>
      </c>
      <c r="E116" s="290">
        <f>E32</f>
        <v>0.91</v>
      </c>
      <c r="F116" s="486">
        <f>(E32)+2*MAX(0,F9-E32)</f>
        <v>2.73</v>
      </c>
      <c r="G116" s="546">
        <f>F9</f>
        <v>1.82</v>
      </c>
      <c r="H116" s="547">
        <f>(D116)*(E116)*(F116)/2/(G116)</f>
        <v>921.37499999999989</v>
      </c>
      <c r="I116" s="19" t="s">
        <v>31</v>
      </c>
      <c r="J116" s="483"/>
      <c r="K116" s="248"/>
      <c r="L116" s="2"/>
    </row>
    <row r="117" spans="2:12">
      <c r="B117" s="466" t="s">
        <v>425</v>
      </c>
      <c r="C117" s="519"/>
      <c r="D117" s="17" t="s">
        <v>18</v>
      </c>
      <c r="E117" s="45" t="s">
        <v>432</v>
      </c>
      <c r="I117" s="246"/>
      <c r="J117" s="483"/>
      <c r="K117" s="2"/>
      <c r="L117" s="2"/>
    </row>
    <row r="118" spans="2:12">
      <c r="B118" s="310"/>
      <c r="C118" s="529" t="s">
        <v>661</v>
      </c>
      <c r="D118" s="196">
        <f>E25</f>
        <v>1350</v>
      </c>
      <c r="E118" s="290">
        <f>E33</f>
        <v>0</v>
      </c>
      <c r="F118" s="486">
        <f>(E33)+2*MAX(0,F9-E33)</f>
        <v>3.64</v>
      </c>
      <c r="G118" s="546">
        <f>F9</f>
        <v>1.82</v>
      </c>
      <c r="H118" s="547">
        <f>(D118)*(E118)*(F118)/2/(G118)</f>
        <v>0</v>
      </c>
      <c r="I118" s="19" t="s">
        <v>31</v>
      </c>
      <c r="J118" s="483"/>
      <c r="K118" s="2"/>
      <c r="L118" s="2"/>
    </row>
    <row r="119" spans="2:12">
      <c r="B119" s="310"/>
      <c r="C119" s="519"/>
      <c r="D119" s="17" t="s">
        <v>18</v>
      </c>
      <c r="E119" s="45" t="s">
        <v>433</v>
      </c>
      <c r="I119" s="246"/>
      <c r="J119" s="42"/>
      <c r="K119" s="2"/>
      <c r="L119" s="2"/>
    </row>
    <row r="120" spans="2:12" ht="7.5" customHeight="1">
      <c r="B120" s="381"/>
      <c r="C120" s="528"/>
      <c r="D120" s="558"/>
      <c r="E120" s="558"/>
      <c r="F120" s="558"/>
      <c r="G120" s="558"/>
      <c r="H120" s="558"/>
      <c r="I120" s="380"/>
      <c r="J120" s="42"/>
      <c r="K120" s="2"/>
      <c r="L120" s="2"/>
    </row>
    <row r="121" spans="2:12">
      <c r="B121" s="387" t="s">
        <v>143</v>
      </c>
      <c r="C121" s="60" t="s">
        <v>544</v>
      </c>
      <c r="D121" s="102" t="s">
        <v>158</v>
      </c>
      <c r="E121" s="158">
        <f>(D39)*(E32)/(F9)</f>
        <v>723.18000000000006</v>
      </c>
      <c r="F121" s="19" t="s">
        <v>31</v>
      </c>
      <c r="G121" s="60" t="s">
        <v>545</v>
      </c>
      <c r="H121" s="91">
        <f>(D39)*(F9-E32)/F9</f>
        <v>723.18000000000006</v>
      </c>
      <c r="I121" s="89" t="s">
        <v>31</v>
      </c>
      <c r="J121" s="2"/>
      <c r="K121" s="2"/>
      <c r="L121" s="2"/>
    </row>
    <row r="122" spans="2:12">
      <c r="B122" s="310"/>
      <c r="C122" s="60" t="s">
        <v>546</v>
      </c>
      <c r="D122" s="102" t="s">
        <v>159</v>
      </c>
      <c r="E122" s="407">
        <f>(D39)*(E33)/(F9)</f>
        <v>0</v>
      </c>
      <c r="F122" s="19" t="s">
        <v>31</v>
      </c>
      <c r="G122" s="60" t="s">
        <v>547</v>
      </c>
      <c r="H122" s="413">
        <f>IF(E33=0,0,(D39)*(F9-E33)/F9)</f>
        <v>0</v>
      </c>
      <c r="I122" s="89" t="s">
        <v>31</v>
      </c>
      <c r="L122" s="2"/>
    </row>
    <row r="123" spans="2:12">
      <c r="B123" s="310"/>
      <c r="C123" s="414"/>
      <c r="D123" s="90" t="s">
        <v>85</v>
      </c>
      <c r="E123" s="407">
        <f>SUM(E121:E122)</f>
        <v>723.18000000000006</v>
      </c>
      <c r="F123" s="19" t="s">
        <v>31</v>
      </c>
      <c r="G123" s="90" t="s">
        <v>85</v>
      </c>
      <c r="H123" s="407">
        <f>SUM(H121:H122)</f>
        <v>723.18000000000006</v>
      </c>
      <c r="I123" s="89" t="s">
        <v>31</v>
      </c>
      <c r="L123" s="2"/>
    </row>
    <row r="124" spans="2:12">
      <c r="B124" s="310"/>
      <c r="C124" s="890" t="s">
        <v>166</v>
      </c>
      <c r="D124" s="88">
        <f>G113+H116+H118+H124</f>
        <v>2591.1115200000004</v>
      </c>
      <c r="E124" s="19" t="s">
        <v>31</v>
      </c>
      <c r="F124" s="463" t="s">
        <v>267</v>
      </c>
      <c r="G124" s="90"/>
      <c r="H124" s="1018">
        <f>MAX(E123,H123)</f>
        <v>723.18000000000006</v>
      </c>
      <c r="I124" s="89"/>
      <c r="L124" s="2"/>
    </row>
    <row r="125" spans="2:12">
      <c r="B125" s="310"/>
      <c r="C125" s="252"/>
      <c r="D125" s="17"/>
      <c r="E125" s="407"/>
      <c r="F125" s="248"/>
      <c r="G125" s="248"/>
      <c r="H125" s="248"/>
      <c r="I125" s="246"/>
      <c r="L125" s="2"/>
    </row>
    <row r="126" spans="2:12">
      <c r="B126" s="310"/>
      <c r="C126" s="585" t="s">
        <v>293</v>
      </c>
      <c r="D126" s="60" t="s">
        <v>628</v>
      </c>
      <c r="E126" s="93" t="s">
        <v>32</v>
      </c>
      <c r="F126" s="125">
        <f>D124</f>
        <v>2591.1115200000004</v>
      </c>
      <c r="G126" s="123">
        <f>(D42)</f>
        <v>21600</v>
      </c>
      <c r="H126" s="159">
        <f>1.5*(F126)/(G126)</f>
        <v>0.17993830000000002</v>
      </c>
      <c r="I126" s="95" t="s">
        <v>36</v>
      </c>
      <c r="L126" s="2"/>
    </row>
    <row r="127" spans="2:12" ht="13.5" customHeight="1">
      <c r="B127" s="310"/>
      <c r="C127" s="244"/>
      <c r="D127" s="414"/>
      <c r="E127" s="19"/>
      <c r="F127" s="19"/>
      <c r="G127" s="412" t="s">
        <v>315</v>
      </c>
      <c r="H127" s="92"/>
      <c r="I127" s="89"/>
      <c r="L127" s="2"/>
    </row>
    <row r="128" spans="2:12">
      <c r="B128" s="310"/>
      <c r="C128" s="1010" t="s">
        <v>94</v>
      </c>
      <c r="D128" s="92" t="s">
        <v>89</v>
      </c>
      <c r="E128" s="119">
        <f>C14</f>
        <v>1</v>
      </c>
      <c r="F128" s="125">
        <f>1.1*(data!K14)/3</f>
        <v>0.66</v>
      </c>
      <c r="G128" s="120">
        <f>C14</f>
        <v>1</v>
      </c>
      <c r="H128" s="159">
        <f>(F128)*(C14)</f>
        <v>0.66</v>
      </c>
      <c r="I128" s="540" t="s">
        <v>36</v>
      </c>
      <c r="J128" s="248"/>
      <c r="K128" s="248"/>
      <c r="L128" s="2"/>
    </row>
    <row r="129" spans="2:12" ht="14.25" thickBot="1">
      <c r="B129" s="310"/>
      <c r="C129" s="253"/>
      <c r="D129" s="254"/>
      <c r="E129" s="253" t="s">
        <v>17</v>
      </c>
      <c r="F129" s="254"/>
      <c r="G129" s="62" t="s">
        <v>17</v>
      </c>
      <c r="H129" s="175" t="s">
        <v>322</v>
      </c>
      <c r="I129" s="619" t="str">
        <f>IF(H126&lt;=H128,"◯","×")</f>
        <v>◯</v>
      </c>
      <c r="J129" s="19"/>
      <c r="K129" s="19"/>
      <c r="L129" s="2"/>
    </row>
    <row r="130" spans="2:12">
      <c r="B130" s="310"/>
      <c r="C130" s="59"/>
      <c r="D130" s="249"/>
      <c r="E130" s="249"/>
      <c r="F130" s="249"/>
      <c r="G130" s="249"/>
      <c r="H130" s="249"/>
      <c r="I130" s="250"/>
      <c r="J130" s="90"/>
      <c r="K130" s="19"/>
      <c r="L130" s="2"/>
    </row>
    <row r="131" spans="2:12">
      <c r="B131" s="310"/>
      <c r="C131" s="60" t="s">
        <v>544</v>
      </c>
      <c r="D131" s="102" t="s">
        <v>158</v>
      </c>
      <c r="E131" s="158">
        <f>(E39)*(E32)/(F9)</f>
        <v>1255.6483000000001</v>
      </c>
      <c r="F131" s="19" t="s">
        <v>31</v>
      </c>
      <c r="G131" s="60" t="s">
        <v>545</v>
      </c>
      <c r="H131" s="91">
        <f>(E39)*(F9-E32)/F9</f>
        <v>1255.6483000000001</v>
      </c>
      <c r="I131" s="89" t="s">
        <v>31</v>
      </c>
      <c r="J131" s="2"/>
      <c r="K131" s="2"/>
      <c r="L131" s="2"/>
    </row>
    <row r="132" spans="2:12">
      <c r="B132" s="310"/>
      <c r="C132" s="60" t="s">
        <v>546</v>
      </c>
      <c r="D132" s="102" t="s">
        <v>159</v>
      </c>
      <c r="E132" s="158">
        <f>(E39)*(E33)/(F9)</f>
        <v>0</v>
      </c>
      <c r="F132" s="19" t="s">
        <v>31</v>
      </c>
      <c r="G132" s="60" t="s">
        <v>547</v>
      </c>
      <c r="H132" s="526">
        <f>IF(E33=0,0,(E39)*(F9-E33)/F9)</f>
        <v>0</v>
      </c>
      <c r="I132" s="89" t="s">
        <v>31</v>
      </c>
      <c r="J132" s="90"/>
      <c r="K132" s="19"/>
      <c r="L132" s="2"/>
    </row>
    <row r="133" spans="2:12" ht="13.5" customHeight="1">
      <c r="B133" s="310"/>
      <c r="C133" s="414"/>
      <c r="D133" s="90" t="s">
        <v>85</v>
      </c>
      <c r="E133" s="158">
        <f>SUM(E131:E132)</f>
        <v>1255.6483000000001</v>
      </c>
      <c r="F133" s="19" t="s">
        <v>31</v>
      </c>
      <c r="G133" s="90" t="s">
        <v>85</v>
      </c>
      <c r="H133" s="158">
        <f>SUM(H131:H132)</f>
        <v>1255.6483000000001</v>
      </c>
      <c r="I133" s="89" t="s">
        <v>31</v>
      </c>
      <c r="J133" s="248"/>
      <c r="K133" s="248"/>
    </row>
    <row r="134" spans="2:12">
      <c r="B134" s="310"/>
      <c r="C134" s="890" t="s">
        <v>166</v>
      </c>
      <c r="D134" s="88">
        <f>G113+H116+H118+H134</f>
        <v>3123.5798199999999</v>
      </c>
      <c r="E134" s="19" t="s">
        <v>31</v>
      </c>
      <c r="F134" s="960" t="s">
        <v>228</v>
      </c>
      <c r="G134" s="90"/>
      <c r="H134" s="1019">
        <f>MAX(E133,H133)</f>
        <v>1255.6483000000001</v>
      </c>
      <c r="I134" s="34"/>
      <c r="J134" s="248"/>
      <c r="K134" s="248"/>
    </row>
    <row r="135" spans="2:12">
      <c r="B135" s="310"/>
      <c r="C135" s="252"/>
      <c r="D135" s="17"/>
      <c r="E135" s="407"/>
      <c r="F135" s="248"/>
      <c r="G135" s="248"/>
      <c r="H135" s="248"/>
      <c r="I135" s="246"/>
      <c r="J135" s="248"/>
      <c r="K135" s="248"/>
    </row>
    <row r="136" spans="2:12">
      <c r="B136" s="310"/>
      <c r="C136" s="585" t="s">
        <v>293</v>
      </c>
      <c r="D136" s="60" t="s">
        <v>626</v>
      </c>
      <c r="E136" s="93" t="s">
        <v>32</v>
      </c>
      <c r="F136" s="125">
        <f>D134</f>
        <v>3123.5798199999999</v>
      </c>
      <c r="G136" s="123">
        <f>(D42)</f>
        <v>21600</v>
      </c>
      <c r="H136" s="159">
        <f>1.5*(F136)/(G136)</f>
        <v>0.2169152652777778</v>
      </c>
      <c r="I136" s="95" t="s">
        <v>36</v>
      </c>
      <c r="J136" s="2"/>
      <c r="K136" s="248"/>
    </row>
    <row r="137" spans="2:12">
      <c r="B137" s="310"/>
      <c r="C137" s="244"/>
      <c r="D137" s="414"/>
      <c r="E137" s="19"/>
      <c r="F137" s="19"/>
      <c r="G137" s="412" t="s">
        <v>315</v>
      </c>
      <c r="H137" s="92"/>
      <c r="I137" s="89"/>
      <c r="J137" s="2"/>
      <c r="K137" s="2"/>
    </row>
    <row r="138" spans="2:12">
      <c r="B138" s="310"/>
      <c r="C138" s="1010" t="s">
        <v>94</v>
      </c>
      <c r="D138" s="414" t="s">
        <v>288</v>
      </c>
      <c r="E138" s="119">
        <f>C14</f>
        <v>1</v>
      </c>
      <c r="F138" s="125">
        <f>1.3*1.1*(data!K14)/3</f>
        <v>0.8580000000000001</v>
      </c>
      <c r="G138" s="120">
        <f>C14</f>
        <v>1</v>
      </c>
      <c r="H138" s="159">
        <f>(F138)*(C14)</f>
        <v>0.8580000000000001</v>
      </c>
      <c r="I138" s="540" t="s">
        <v>36</v>
      </c>
      <c r="J138" s="248"/>
      <c r="K138" s="248"/>
    </row>
    <row r="139" spans="2:12" ht="14.25" thickBot="1">
      <c r="B139" s="310"/>
      <c r="C139" s="253"/>
      <c r="D139" s="254"/>
      <c r="E139" s="253" t="s">
        <v>17</v>
      </c>
      <c r="F139" s="254"/>
      <c r="G139" s="62" t="s">
        <v>17</v>
      </c>
      <c r="H139" s="175" t="s">
        <v>322</v>
      </c>
      <c r="I139" s="619" t="str">
        <f>IF(H136&lt;=H138,"◯","×")</f>
        <v>◯</v>
      </c>
      <c r="J139" s="19"/>
      <c r="K139" s="248"/>
    </row>
    <row r="140" spans="2:12">
      <c r="B140" s="310"/>
      <c r="C140" s="59"/>
      <c r="D140" s="249"/>
      <c r="E140" s="249"/>
      <c r="F140" s="249"/>
      <c r="G140" s="249"/>
      <c r="H140" s="249"/>
      <c r="I140" s="250"/>
      <c r="J140" s="90"/>
      <c r="K140" s="248"/>
    </row>
    <row r="141" spans="2:12">
      <c r="B141" s="310"/>
      <c r="C141" s="60" t="s">
        <v>544</v>
      </c>
      <c r="D141" s="102" t="s">
        <v>158</v>
      </c>
      <c r="E141" s="158">
        <f>(F39)*(E32)/(F9)</f>
        <v>1483.3758000000003</v>
      </c>
      <c r="F141" s="19" t="s">
        <v>31</v>
      </c>
      <c r="G141" s="60" t="s">
        <v>545</v>
      </c>
      <c r="H141" s="91">
        <f>(F39)*(F9-E32)/F9</f>
        <v>1483.3758000000003</v>
      </c>
      <c r="I141" s="89" t="s">
        <v>31</v>
      </c>
      <c r="J141" s="2"/>
      <c r="K141" s="2"/>
    </row>
    <row r="142" spans="2:12">
      <c r="B142" s="310"/>
      <c r="C142" s="60" t="s">
        <v>546</v>
      </c>
      <c r="D142" s="102" t="s">
        <v>159</v>
      </c>
      <c r="E142" s="158">
        <f>(F39)*(E33)/(F9)</f>
        <v>0</v>
      </c>
      <c r="F142" s="19" t="s">
        <v>31</v>
      </c>
      <c r="G142" s="60" t="s">
        <v>547</v>
      </c>
      <c r="H142" s="526">
        <f>IF(E33=0,0,(F39)*(F9-E33)/F9)</f>
        <v>0</v>
      </c>
      <c r="I142" s="89" t="s">
        <v>31</v>
      </c>
      <c r="J142" s="90"/>
      <c r="K142" s="248"/>
    </row>
    <row r="143" spans="2:12">
      <c r="B143" s="310"/>
      <c r="C143" s="414"/>
      <c r="D143" s="90" t="s">
        <v>85</v>
      </c>
      <c r="E143" s="158">
        <f>SUM(E141:E142)</f>
        <v>1483.3758000000003</v>
      </c>
      <c r="F143" s="19" t="s">
        <v>31</v>
      </c>
      <c r="G143" s="90" t="s">
        <v>85</v>
      </c>
      <c r="H143" s="158">
        <f>SUM(H141:H142)</f>
        <v>1483.3758000000003</v>
      </c>
      <c r="I143" s="89" t="s">
        <v>662</v>
      </c>
      <c r="J143" s="248"/>
      <c r="K143" s="248"/>
    </row>
    <row r="144" spans="2:12">
      <c r="B144" s="310"/>
      <c r="C144" s="890" t="s">
        <v>166</v>
      </c>
      <c r="D144" s="88">
        <f>G113+H116+H118+H144</f>
        <v>3351.3073200000003</v>
      </c>
      <c r="E144" s="19" t="s">
        <v>31</v>
      </c>
      <c r="F144" s="857" t="s">
        <v>229</v>
      </c>
      <c r="G144" s="90"/>
      <c r="H144" s="1020">
        <f>MAX(E143,H143)</f>
        <v>1483.3758000000003</v>
      </c>
      <c r="I144" s="89"/>
      <c r="J144" s="248"/>
      <c r="K144" s="248"/>
    </row>
    <row r="145" spans="2:11">
      <c r="B145" s="310"/>
      <c r="C145" s="252"/>
      <c r="D145" s="17"/>
      <c r="E145" s="407"/>
      <c r="F145" s="248"/>
      <c r="G145" s="248"/>
      <c r="H145" s="248"/>
      <c r="I145" s="246"/>
      <c r="J145" s="248"/>
      <c r="K145" s="248"/>
    </row>
    <row r="146" spans="2:11">
      <c r="B146" s="310"/>
      <c r="C146" s="585" t="s">
        <v>293</v>
      </c>
      <c r="D146" s="60" t="s">
        <v>603</v>
      </c>
      <c r="E146" s="93" t="s">
        <v>32</v>
      </c>
      <c r="F146" s="125">
        <f>D144</f>
        <v>3351.3073200000003</v>
      </c>
      <c r="G146" s="123">
        <f>(D42)</f>
        <v>21600</v>
      </c>
      <c r="H146" s="159">
        <f>1.5*(F146)/(G146)</f>
        <v>0.23272967500000002</v>
      </c>
      <c r="I146" s="95" t="s">
        <v>36</v>
      </c>
      <c r="J146" s="2"/>
      <c r="K146" s="248"/>
    </row>
    <row r="147" spans="2:11">
      <c r="B147" s="310"/>
      <c r="C147" s="244"/>
      <c r="D147" s="414"/>
      <c r="E147" s="19"/>
      <c r="F147" s="19"/>
      <c r="G147" s="412" t="s">
        <v>315</v>
      </c>
      <c r="H147" s="92"/>
      <c r="I147" s="89"/>
      <c r="J147" s="2"/>
      <c r="K147" s="2"/>
    </row>
    <row r="148" spans="2:11">
      <c r="B148" s="310"/>
      <c r="C148" s="1010" t="s">
        <v>94</v>
      </c>
      <c r="D148" s="414" t="s">
        <v>289</v>
      </c>
      <c r="E148" s="119">
        <f>C14</f>
        <v>1</v>
      </c>
      <c r="F148" s="125">
        <f>0.8*2*(data!K14)/3</f>
        <v>0.96000000000000008</v>
      </c>
      <c r="G148" s="120">
        <f>C14</f>
        <v>1</v>
      </c>
      <c r="H148" s="159">
        <f>(F148)*(C14)</f>
        <v>0.96000000000000008</v>
      </c>
      <c r="I148" s="540" t="s">
        <v>36</v>
      </c>
      <c r="J148" s="248"/>
      <c r="K148" s="248"/>
    </row>
    <row r="149" spans="2:11" ht="14.25" thickBot="1">
      <c r="B149" s="364"/>
      <c r="C149" s="360"/>
      <c r="D149" s="361"/>
      <c r="E149" s="360" t="s">
        <v>17</v>
      </c>
      <c r="F149" s="361"/>
      <c r="G149" s="362" t="s">
        <v>17</v>
      </c>
      <c r="H149" s="175" t="s">
        <v>322</v>
      </c>
      <c r="I149" s="619" t="str">
        <f>IF(H146&lt;=H148,"◯","×")</f>
        <v>◯</v>
      </c>
      <c r="J149" s="19"/>
      <c r="K149" s="19"/>
    </row>
    <row r="150" spans="2:11">
      <c r="B150" s="405" t="s">
        <v>122</v>
      </c>
      <c r="C150" s="419"/>
      <c r="D150" s="265"/>
      <c r="E150" s="266"/>
      <c r="F150" s="266"/>
      <c r="G150" s="266"/>
      <c r="H150" s="266"/>
      <c r="I150" s="266"/>
      <c r="J150" s="483"/>
      <c r="K150" s="248"/>
    </row>
    <row r="151" spans="2:11">
      <c r="B151" s="387" t="s">
        <v>221</v>
      </c>
      <c r="C151" s="574" t="s">
        <v>64</v>
      </c>
      <c r="D151" s="249"/>
      <c r="E151" s="249"/>
      <c r="F151" s="249"/>
      <c r="G151" s="249"/>
      <c r="H151" s="249"/>
      <c r="I151" s="249"/>
      <c r="J151" s="483"/>
      <c r="K151" s="248"/>
    </row>
    <row r="152" spans="2:11">
      <c r="B152" s="466" t="s">
        <v>431</v>
      </c>
      <c r="C152" s="196">
        <f>E25</f>
        <v>1350</v>
      </c>
      <c r="D152" s="213">
        <f>(F9)</f>
        <v>1.82</v>
      </c>
      <c r="E152" s="41" t="s">
        <v>162</v>
      </c>
      <c r="F152" s="92">
        <f>data!J20</f>
        <v>7.2972799999999998</v>
      </c>
      <c r="G152" s="124">
        <f>E44</f>
        <v>58320000</v>
      </c>
      <c r="H152" s="96" t="s">
        <v>105</v>
      </c>
      <c r="I152" s="125">
        <f>(5*($C$152)*($D$152)^4)/(384*1000*($F$152)*(G152))*1000000000*2</f>
        <v>0.90637844767815423</v>
      </c>
      <c r="J152" s="42"/>
      <c r="K152" s="465"/>
    </row>
    <row r="153" spans="2:11">
      <c r="B153" s="243"/>
      <c r="C153" s="403" t="s">
        <v>71</v>
      </c>
      <c r="D153" s="407" t="s">
        <v>92</v>
      </c>
      <c r="E153" s="245"/>
      <c r="F153" s="19" t="s">
        <v>37</v>
      </c>
      <c r="G153" s="251" t="s">
        <v>40</v>
      </c>
      <c r="H153" s="252" t="s">
        <v>66</v>
      </c>
      <c r="I153" s="407" t="s">
        <v>104</v>
      </c>
      <c r="J153" s="42"/>
      <c r="K153" s="2"/>
    </row>
    <row r="154" spans="2:11">
      <c r="B154" s="261"/>
      <c r="C154" s="253"/>
      <c r="D154" s="389"/>
      <c r="E154" s="390"/>
      <c r="F154" s="254"/>
      <c r="G154" s="391"/>
      <c r="H154" s="392"/>
      <c r="I154" s="575"/>
      <c r="J154" s="79"/>
      <c r="K154" s="2"/>
    </row>
    <row r="155" spans="2:11">
      <c r="B155" s="466" t="s">
        <v>221</v>
      </c>
      <c r="C155" s="574" t="s">
        <v>434</v>
      </c>
      <c r="D155" s="576" t="s">
        <v>436</v>
      </c>
      <c r="E155" s="577">
        <f>((E32))+($F$9-(E32)/2)/($F$9)</f>
        <v>1.6600000000000001</v>
      </c>
      <c r="F155" s="249"/>
      <c r="G155" s="147"/>
      <c r="H155" s="578"/>
      <c r="I155" s="579"/>
      <c r="J155" s="525"/>
      <c r="K155" s="2"/>
    </row>
    <row r="156" spans="2:11">
      <c r="B156" s="466" t="s">
        <v>425</v>
      </c>
      <c r="C156" s="529" t="s">
        <v>663</v>
      </c>
      <c r="D156" s="1350" t="s">
        <v>490</v>
      </c>
      <c r="E156" s="1310"/>
      <c r="F156" s="1310"/>
      <c r="G156" s="1310"/>
      <c r="H156" s="1310"/>
      <c r="I156" s="1351"/>
      <c r="J156" s="525"/>
      <c r="K156" s="2"/>
    </row>
    <row r="157" spans="2:11" ht="6.75" customHeight="1">
      <c r="B157" s="310"/>
      <c r="C157" s="1022"/>
      <c r="D157" s="1028">
        <f>(E32)*(4*($F$9)-(E32))*(E32)*(E32)-4*($E$155)*($E$155)</f>
        <v>-6.2221527300000004</v>
      </c>
      <c r="E157" s="1018">
        <f>($E$155)*(2*($F$9)-(E32))*(D157)+2*($F$9)*($E$155)*($E$155)*($E$155)*($E$155)/(E32)</f>
        <v>2.1757736981860063</v>
      </c>
      <c r="F157" s="2"/>
      <c r="G157" s="2"/>
      <c r="H157" s="2"/>
      <c r="I157" s="6"/>
    </row>
    <row r="158" spans="2:11">
      <c r="B158" s="310"/>
      <c r="C158" s="1022"/>
      <c r="D158" s="158">
        <f>(E29)*(E32)*(E157)/(48*(F152)*(G152)*(F9)*1000000000*2)</f>
        <v>3.594742086438789E-17</v>
      </c>
      <c r="E158" s="525" t="s">
        <v>104</v>
      </c>
      <c r="F158" s="2"/>
      <c r="G158" s="2"/>
      <c r="H158" s="2"/>
      <c r="I158" s="6"/>
    </row>
    <row r="159" spans="2:11">
      <c r="B159" s="310"/>
      <c r="C159" s="529" t="s">
        <v>435</v>
      </c>
      <c r="D159" s="576" t="s">
        <v>437</v>
      </c>
      <c r="E159" s="577">
        <f>((E33))+($F$9-(E33)/2)/($F$9)</f>
        <v>1</v>
      </c>
      <c r="F159" s="249"/>
      <c r="G159" s="147"/>
      <c r="H159" s="578"/>
      <c r="I159" s="579"/>
    </row>
    <row r="160" spans="2:11">
      <c r="B160" s="310"/>
      <c r="C160" s="529" t="s">
        <v>664</v>
      </c>
      <c r="D160" s="1350" t="s">
        <v>491</v>
      </c>
      <c r="E160" s="1310"/>
      <c r="F160" s="1310"/>
      <c r="G160" s="1310"/>
      <c r="H160" s="1310"/>
      <c r="I160" s="1351"/>
    </row>
    <row r="161" spans="2:11" ht="6.75" customHeight="1">
      <c r="B161" s="310"/>
      <c r="C161" s="7"/>
      <c r="D161" s="1028">
        <f>(E33)*(4*($F$9)-(E33))*(E33)*(E33)-4*($E$155)*($E$155)</f>
        <v>-11.022400000000001</v>
      </c>
      <c r="E161" s="1018">
        <f>IF(E33=0,0,($E$155)*(2*($F$9)-(E33))*(D161)+2*($F$9)*($E$155)*($E$155)*($E$155)*($E$155)/(E33))</f>
        <v>0</v>
      </c>
      <c r="F161" s="2"/>
      <c r="G161" s="2"/>
      <c r="H161" s="2"/>
      <c r="I161" s="6"/>
    </row>
    <row r="162" spans="2:11">
      <c r="B162" s="381"/>
      <c r="C162" s="581"/>
      <c r="D162" s="591">
        <f>(E29)*(E33)*(E161)/(48*(F152)*(G152)*(F9)*1000000000*2)</f>
        <v>0</v>
      </c>
      <c r="E162" s="390" t="s">
        <v>104</v>
      </c>
      <c r="F162" s="558"/>
      <c r="G162" s="558"/>
      <c r="H162" s="558"/>
      <c r="I162" s="380"/>
    </row>
    <row r="163" spans="2:11">
      <c r="B163" s="68" t="s">
        <v>143</v>
      </c>
      <c r="C163" s="244"/>
      <c r="J163" s="42"/>
      <c r="K163" s="248"/>
    </row>
    <row r="164" spans="2:11">
      <c r="B164" s="310"/>
      <c r="C164" s="573" t="s">
        <v>651</v>
      </c>
      <c r="D164" s="245"/>
      <c r="E164" s="245"/>
      <c r="F164" s="245"/>
      <c r="G164" s="245"/>
      <c r="H164" s="245"/>
      <c r="I164" s="248"/>
      <c r="J164" s="42"/>
      <c r="K164" s="248"/>
    </row>
    <row r="165" spans="2:11">
      <c r="B165" s="68"/>
      <c r="C165" s="196">
        <f>D39</f>
        <v>1446.3600000000001</v>
      </c>
      <c r="D165" s="286">
        <f>MIN((($F$9)-(E32)),(E32))</f>
        <v>0.91</v>
      </c>
      <c r="E165" s="41" t="s">
        <v>164</v>
      </c>
      <c r="F165" s="161">
        <f>(D165)</f>
        <v>0.91</v>
      </c>
      <c r="G165" s="96" t="s">
        <v>173</v>
      </c>
      <c r="H165" s="162">
        <f>data!J20</f>
        <v>7.2972799999999998</v>
      </c>
      <c r="I165" s="163">
        <f>E44</f>
        <v>58320000</v>
      </c>
      <c r="J165" s="42"/>
      <c r="K165" s="248"/>
    </row>
    <row r="166" spans="2:11">
      <c r="B166" s="243"/>
      <c r="C166" s="27" t="s">
        <v>71</v>
      </c>
      <c r="D166" s="41"/>
      <c r="E166" s="41"/>
      <c r="F166" s="41"/>
      <c r="G166" s="41"/>
      <c r="H166" s="19" t="s">
        <v>37</v>
      </c>
      <c r="I166" s="407" t="s">
        <v>40</v>
      </c>
      <c r="J166" s="42"/>
      <c r="K166" s="248"/>
    </row>
    <row r="167" spans="2:11">
      <c r="B167" s="243"/>
      <c r="C167" s="164">
        <f>F9</f>
        <v>1.82</v>
      </c>
      <c r="D167" s="1197" t="s">
        <v>105</v>
      </c>
      <c r="E167" s="1197"/>
      <c r="F167" s="125">
        <f>((C165)*(D165)*((F9)*(F9)-(F165)*(F165))^(3/2))/(9*3^(0.5)*(H165)*1000*(I165)*(C167))*1000000000*2</f>
        <v>0.85369118865854299</v>
      </c>
      <c r="G167" s="414" t="s">
        <v>104</v>
      </c>
      <c r="H167" s="41"/>
      <c r="I167" s="19"/>
      <c r="J167" s="42"/>
      <c r="K167" s="248"/>
    </row>
    <row r="168" spans="2:11">
      <c r="B168" s="243"/>
      <c r="C168" s="573" t="s">
        <v>652</v>
      </c>
      <c r="D168" s="245"/>
      <c r="E168" s="252" t="s">
        <v>66</v>
      </c>
      <c r="F168" s="245"/>
      <c r="G168" s="245"/>
      <c r="H168" s="245"/>
      <c r="I168" s="248"/>
      <c r="J168" s="42"/>
      <c r="K168" s="248"/>
    </row>
    <row r="169" spans="2:11">
      <c r="B169" s="243"/>
      <c r="C169" s="196">
        <f>D39</f>
        <v>1446.3600000000001</v>
      </c>
      <c r="D169" s="286">
        <f>MIN((($F$9)-(E33)),(E33))</f>
        <v>0</v>
      </c>
      <c r="E169" s="41" t="s">
        <v>164</v>
      </c>
      <c r="F169" s="161">
        <f>(D169)</f>
        <v>0</v>
      </c>
      <c r="G169" s="96" t="s">
        <v>173</v>
      </c>
      <c r="H169" s="162">
        <f>data!J20</f>
        <v>7.2972799999999998</v>
      </c>
      <c r="I169" s="163">
        <f>E44</f>
        <v>58320000</v>
      </c>
      <c r="J169" s="42"/>
      <c r="K169" s="248"/>
    </row>
    <row r="170" spans="2:11">
      <c r="B170" s="243"/>
      <c r="C170" s="27" t="s">
        <v>71</v>
      </c>
      <c r="D170" s="41"/>
      <c r="E170" s="41"/>
      <c r="F170" s="41"/>
      <c r="G170" s="41"/>
      <c r="H170" s="19" t="s">
        <v>37</v>
      </c>
      <c r="I170" s="565" t="s">
        <v>40</v>
      </c>
      <c r="J170" s="42"/>
      <c r="K170" s="248"/>
    </row>
    <row r="171" spans="2:11">
      <c r="B171" s="243"/>
      <c r="C171" s="164">
        <f>F9</f>
        <v>1.82</v>
      </c>
      <c r="D171" s="1197" t="s">
        <v>105</v>
      </c>
      <c r="E171" s="1197"/>
      <c r="F171" s="125">
        <f>((C169)*(D169)*((F13)*(F13)-(F169)*(F169))^(3/2))/(9*3^(0.5)*(H169)*1000*(I169)*(C171))*1000000000*2</f>
        <v>0</v>
      </c>
      <c r="G171" s="572" t="s">
        <v>104</v>
      </c>
      <c r="H171" s="41"/>
      <c r="I171" s="19"/>
      <c r="J171" s="42"/>
      <c r="K171" s="248"/>
    </row>
    <row r="172" spans="2:11">
      <c r="B172" s="243"/>
      <c r="C172" s="890" t="s">
        <v>92</v>
      </c>
      <c r="D172" s="245"/>
      <c r="E172" s="252" t="s">
        <v>66</v>
      </c>
      <c r="F172" s="245"/>
      <c r="G172" s="252"/>
      <c r="H172" s="245"/>
      <c r="I172" s="248"/>
      <c r="J172" s="42"/>
      <c r="K172" s="248"/>
    </row>
    <row r="173" spans="2:11">
      <c r="B173" s="243"/>
      <c r="C173" s="573" t="s">
        <v>165</v>
      </c>
      <c r="D173" s="218">
        <f>(I152)+(D158)+(D162)+(F167)+(F171)</f>
        <v>1.7600696363366972</v>
      </c>
      <c r="E173" s="84" t="s">
        <v>104</v>
      </c>
      <c r="F173" s="472" t="s">
        <v>267</v>
      </c>
      <c r="G173" s="245"/>
      <c r="H173" s="245"/>
      <c r="I173" s="248"/>
      <c r="J173" s="483"/>
      <c r="K173" s="248"/>
    </row>
    <row r="174" spans="2:11" ht="14.25" thickBot="1">
      <c r="B174" s="243"/>
      <c r="C174" s="389" t="s">
        <v>94</v>
      </c>
      <c r="D174" s="1029" t="s">
        <v>68</v>
      </c>
      <c r="E174" s="544">
        <f>1000*(F9)/250</f>
        <v>7.28</v>
      </c>
      <c r="F174" s="391" t="s">
        <v>106</v>
      </c>
      <c r="G174" s="254"/>
      <c r="H174" s="593" t="s">
        <v>322</v>
      </c>
      <c r="I174" s="619" t="str">
        <f>IF(D173&lt;=E174,"◯","×")</f>
        <v>◯</v>
      </c>
      <c r="J174" s="42"/>
      <c r="K174" s="2"/>
    </row>
    <row r="175" spans="2:11" ht="14.25" thickTop="1">
      <c r="B175" s="243"/>
      <c r="C175" s="573" t="s">
        <v>665</v>
      </c>
      <c r="D175" s="245"/>
      <c r="E175" s="245"/>
      <c r="F175" s="245"/>
      <c r="G175" s="245"/>
      <c r="H175" s="245"/>
      <c r="I175" s="267"/>
      <c r="J175" s="2"/>
      <c r="K175" s="2"/>
    </row>
    <row r="176" spans="2:11">
      <c r="B176" s="243"/>
      <c r="C176" s="196">
        <f>E39</f>
        <v>2511.2966000000001</v>
      </c>
      <c r="D176" s="286">
        <f>MIN((($F$9)-(E32)),(E32))</f>
        <v>0.91</v>
      </c>
      <c r="E176" s="41" t="s">
        <v>164</v>
      </c>
      <c r="F176" s="161">
        <f>(D176)</f>
        <v>0.91</v>
      </c>
      <c r="G176" s="96" t="s">
        <v>173</v>
      </c>
      <c r="H176" s="162">
        <f>data!J20</f>
        <v>7.2972799999999998</v>
      </c>
      <c r="I176" s="594">
        <f>E44</f>
        <v>58320000</v>
      </c>
      <c r="J176" s="2"/>
      <c r="K176" s="2"/>
    </row>
    <row r="177" spans="2:11">
      <c r="B177" s="243"/>
      <c r="C177" s="27" t="s">
        <v>71</v>
      </c>
      <c r="D177" s="41"/>
      <c r="E177" s="41"/>
      <c r="F177" s="41"/>
      <c r="G177" s="41"/>
      <c r="H177" s="19" t="s">
        <v>37</v>
      </c>
      <c r="I177" s="10" t="s">
        <v>40</v>
      </c>
      <c r="J177" s="2"/>
      <c r="K177" s="2"/>
    </row>
    <row r="178" spans="2:11">
      <c r="B178" s="243"/>
      <c r="C178" s="164">
        <f>F9</f>
        <v>1.82</v>
      </c>
      <c r="D178" s="1197" t="s">
        <v>666</v>
      </c>
      <c r="E178" s="1197"/>
      <c r="F178" s="125">
        <f>((C176)*(D176)*((F9)*(F9)-(F176)*(F176))^(3/2))/(9*3^(0.5)*(H176)*1000*(I176)*(C178))*1000000000*2</f>
        <v>1.4822532284688164</v>
      </c>
      <c r="G178" s="572" t="s">
        <v>104</v>
      </c>
      <c r="H178" s="41"/>
      <c r="I178" s="89"/>
      <c r="J178" s="2"/>
      <c r="K178" s="2"/>
    </row>
    <row r="179" spans="2:11">
      <c r="B179" s="243"/>
      <c r="C179" s="37" t="s">
        <v>438</v>
      </c>
      <c r="D179" s="245"/>
      <c r="E179" s="252" t="s">
        <v>66</v>
      </c>
      <c r="F179" s="245"/>
      <c r="G179" s="245"/>
      <c r="H179" s="245"/>
      <c r="I179" s="246"/>
      <c r="J179" s="2"/>
      <c r="K179" s="2"/>
    </row>
    <row r="180" spans="2:11">
      <c r="B180" s="243"/>
      <c r="C180" s="196">
        <f>E39</f>
        <v>2511.2966000000001</v>
      </c>
      <c r="D180" s="286">
        <f>MIN((($F$9)-(E33)),(E33))</f>
        <v>0</v>
      </c>
      <c r="E180" s="41" t="s">
        <v>164</v>
      </c>
      <c r="F180" s="161">
        <f>(D180)</f>
        <v>0</v>
      </c>
      <c r="G180" s="96" t="s">
        <v>173</v>
      </c>
      <c r="H180" s="162">
        <f>data!J20</f>
        <v>7.2972799999999998</v>
      </c>
      <c r="I180" s="594">
        <f>E44</f>
        <v>58320000</v>
      </c>
      <c r="J180" s="2"/>
      <c r="K180" s="2"/>
    </row>
    <row r="181" spans="2:11">
      <c r="B181" s="243"/>
      <c r="C181" s="27" t="s">
        <v>71</v>
      </c>
      <c r="D181" s="41"/>
      <c r="E181" s="41"/>
      <c r="F181" s="41"/>
      <c r="G181" s="41"/>
      <c r="H181" s="19" t="s">
        <v>37</v>
      </c>
      <c r="I181" s="10" t="s">
        <v>40</v>
      </c>
      <c r="J181" s="2"/>
      <c r="K181" s="2"/>
    </row>
    <row r="182" spans="2:11">
      <c r="B182" s="243"/>
      <c r="C182" s="164">
        <f>F9</f>
        <v>1.82</v>
      </c>
      <c r="D182" s="1197" t="s">
        <v>666</v>
      </c>
      <c r="E182" s="1197"/>
      <c r="F182" s="125">
        <f>IF(D180=0,0,((C180)*(D180)*((F24)*(F24)-(F180)*(F180))^(3/2))/(9*3^(0.5)*(H180)*1000*(I180)*(C182))*1000000000*2)</f>
        <v>0</v>
      </c>
      <c r="G182" s="572" t="s">
        <v>104</v>
      </c>
      <c r="H182" s="41"/>
      <c r="I182" s="89"/>
      <c r="J182" s="2"/>
      <c r="K182" s="2"/>
    </row>
    <row r="183" spans="2:11">
      <c r="B183" s="243"/>
      <c r="C183" s="565" t="s">
        <v>92</v>
      </c>
      <c r="D183" s="245"/>
      <c r="E183" s="252" t="s">
        <v>66</v>
      </c>
      <c r="F183" s="245"/>
      <c r="G183" s="252"/>
      <c r="H183" s="245"/>
      <c r="I183" s="246"/>
      <c r="J183" s="2"/>
      <c r="K183" s="2"/>
    </row>
    <row r="184" spans="2:11">
      <c r="B184" s="243"/>
      <c r="C184" s="573" t="s">
        <v>165</v>
      </c>
      <c r="D184" s="218">
        <f>(I152)+(D158)+(D162)+(F178)+(F182)</f>
        <v>2.3886316761469706</v>
      </c>
      <c r="E184" s="580" t="s">
        <v>104</v>
      </c>
      <c r="F184" s="851" t="s">
        <v>228</v>
      </c>
      <c r="G184" s="245"/>
      <c r="H184" s="245"/>
      <c r="I184" s="246"/>
      <c r="J184" s="2"/>
      <c r="K184" s="2"/>
    </row>
    <row r="185" spans="2:11" ht="14.25" thickBot="1">
      <c r="B185" s="243"/>
      <c r="C185" s="389" t="s">
        <v>94</v>
      </c>
      <c r="D185" s="592" t="s">
        <v>68</v>
      </c>
      <c r="E185" s="544">
        <f>1000*(F9)/250</f>
        <v>7.28</v>
      </c>
      <c r="F185" s="391" t="s">
        <v>106</v>
      </c>
      <c r="G185" s="254"/>
      <c r="H185" s="593" t="s">
        <v>322</v>
      </c>
      <c r="I185" s="619" t="str">
        <f>IF(D184&lt;=E185,"◯","×")</f>
        <v>◯</v>
      </c>
      <c r="J185" s="2"/>
      <c r="K185" s="2"/>
    </row>
    <row r="186" spans="2:11" ht="14.25" thickTop="1">
      <c r="B186" s="243"/>
      <c r="C186" s="244"/>
      <c r="I186" s="4"/>
      <c r="J186" s="2"/>
      <c r="K186" s="2"/>
    </row>
    <row r="187" spans="2:11">
      <c r="B187" s="243"/>
      <c r="C187" s="573" t="s">
        <v>667</v>
      </c>
      <c r="D187" s="245"/>
      <c r="E187" s="245"/>
      <c r="F187" s="245"/>
      <c r="G187" s="245"/>
      <c r="H187" s="245"/>
      <c r="I187" s="246"/>
      <c r="J187" s="2"/>
      <c r="K187" s="2"/>
    </row>
    <row r="188" spans="2:11">
      <c r="B188" s="243"/>
      <c r="C188" s="196">
        <f>F39</f>
        <v>2966.7516000000005</v>
      </c>
      <c r="D188" s="286">
        <f>MIN((($F$9)-(E32)),(E32))</f>
        <v>0.91</v>
      </c>
      <c r="E188" s="41" t="s">
        <v>164</v>
      </c>
      <c r="F188" s="161">
        <f>(D188)</f>
        <v>0.91</v>
      </c>
      <c r="G188" s="96" t="s">
        <v>173</v>
      </c>
      <c r="H188" s="162">
        <f>data!J20</f>
        <v>7.2972799999999998</v>
      </c>
      <c r="I188" s="594">
        <f>E44</f>
        <v>58320000</v>
      </c>
      <c r="J188" s="2"/>
      <c r="K188" s="2"/>
    </row>
    <row r="189" spans="2:11">
      <c r="B189" s="243"/>
      <c r="C189" s="27" t="s">
        <v>71</v>
      </c>
      <c r="D189" s="41"/>
      <c r="E189" s="41"/>
      <c r="F189" s="41"/>
      <c r="G189" s="41"/>
      <c r="H189" s="19" t="s">
        <v>37</v>
      </c>
      <c r="I189" s="10" t="s">
        <v>40</v>
      </c>
      <c r="J189" s="2"/>
      <c r="K189" s="2"/>
    </row>
    <row r="190" spans="2:11">
      <c r="B190" s="243"/>
      <c r="C190" s="164">
        <f>F9</f>
        <v>1.82</v>
      </c>
      <c r="D190" s="1197" t="s">
        <v>105</v>
      </c>
      <c r="E190" s="1197"/>
      <c r="F190" s="125">
        <f>((C188)*(D188)*((F9)*(F9)-(F188)*(F188))^(3/2))/(9*3^(0.5)*(H188)*1000*(I188)*(C190))*1000000000*2</f>
        <v>1.7510783621357302</v>
      </c>
      <c r="G190" s="572" t="s">
        <v>104</v>
      </c>
      <c r="H190" s="41"/>
      <c r="I190" s="89"/>
      <c r="J190" s="2"/>
      <c r="K190" s="2"/>
    </row>
    <row r="191" spans="2:11">
      <c r="B191" s="243"/>
      <c r="C191" s="573" t="s">
        <v>668</v>
      </c>
      <c r="D191" s="245"/>
      <c r="E191" s="252" t="s">
        <v>66</v>
      </c>
      <c r="F191" s="245"/>
      <c r="G191" s="245"/>
      <c r="H191" s="245"/>
      <c r="I191" s="246"/>
      <c r="J191" s="2"/>
      <c r="K191" s="2"/>
    </row>
    <row r="192" spans="2:11">
      <c r="B192" s="243"/>
      <c r="C192" s="196">
        <f>F39</f>
        <v>2966.7516000000005</v>
      </c>
      <c r="D192" s="286">
        <f>MIN((($F$9)-(E33)),(E33))</f>
        <v>0</v>
      </c>
      <c r="E192" s="41" t="s">
        <v>164</v>
      </c>
      <c r="F192" s="161">
        <f>(D192)</f>
        <v>0</v>
      </c>
      <c r="G192" s="96" t="s">
        <v>173</v>
      </c>
      <c r="H192" s="162">
        <f>data!J20</f>
        <v>7.2972799999999998</v>
      </c>
      <c r="I192" s="594">
        <f>E44</f>
        <v>58320000</v>
      </c>
      <c r="J192" s="2"/>
      <c r="K192" s="2"/>
    </row>
    <row r="193" spans="2:11">
      <c r="B193" s="243"/>
      <c r="C193" s="27" t="s">
        <v>71</v>
      </c>
      <c r="D193" s="41"/>
      <c r="E193" s="41"/>
      <c r="F193" s="41"/>
      <c r="G193" s="41"/>
      <c r="H193" s="19" t="s">
        <v>37</v>
      </c>
      <c r="I193" s="10" t="s">
        <v>40</v>
      </c>
      <c r="J193" s="2"/>
      <c r="K193" s="2"/>
    </row>
    <row r="194" spans="2:11">
      <c r="B194" s="243"/>
      <c r="C194" s="164">
        <f>F9</f>
        <v>1.82</v>
      </c>
      <c r="D194" s="1197" t="s">
        <v>105</v>
      </c>
      <c r="E194" s="1197"/>
      <c r="F194" s="125">
        <f>IF(D192=0,0,((C192)*(D192)*((F9)*(F9)-(F192)*(F192))^(3/2))/(9*3^(0.5)*(H192)*1000*(I192)*(C194))*1000000000*2)</f>
        <v>0</v>
      </c>
      <c r="G194" s="572" t="s">
        <v>104</v>
      </c>
      <c r="H194" s="41"/>
      <c r="I194" s="89"/>
      <c r="J194" s="2"/>
      <c r="K194" s="2"/>
    </row>
    <row r="195" spans="2:11">
      <c r="B195" s="243"/>
      <c r="C195" s="565" t="s">
        <v>92</v>
      </c>
      <c r="D195" s="245"/>
      <c r="E195" s="252" t="s">
        <v>66</v>
      </c>
      <c r="F195" s="245"/>
      <c r="G195" s="252"/>
      <c r="H195" s="245"/>
      <c r="I195" s="246"/>
      <c r="J195" s="2"/>
      <c r="K195" s="2"/>
    </row>
    <row r="196" spans="2:11">
      <c r="B196" s="243"/>
      <c r="C196" s="37" t="s">
        <v>165</v>
      </c>
      <c r="D196" s="218">
        <f>(I152)+(D158)+(D162)+(F190)+(F194)</f>
        <v>2.6574568098138842</v>
      </c>
      <c r="E196" s="580" t="s">
        <v>104</v>
      </c>
      <c r="F196" s="851" t="s">
        <v>229</v>
      </c>
      <c r="G196" s="245"/>
      <c r="H196" s="245"/>
      <c r="I196" s="246"/>
      <c r="J196" s="2"/>
      <c r="K196" s="2"/>
    </row>
    <row r="197" spans="2:11" ht="14.25" thickBot="1">
      <c r="B197" s="595"/>
      <c r="C197" s="596" t="s">
        <v>94</v>
      </c>
      <c r="D197" s="597" t="s">
        <v>68</v>
      </c>
      <c r="E197" s="598">
        <f>1000*(F9)/250</f>
        <v>7.28</v>
      </c>
      <c r="F197" s="599" t="s">
        <v>106</v>
      </c>
      <c r="G197" s="600"/>
      <c r="H197" s="601" t="s">
        <v>322</v>
      </c>
      <c r="I197" s="619" t="str">
        <f>IF(D196&lt;=E197,"◯","×")</f>
        <v>◯</v>
      </c>
      <c r="J197" s="2"/>
      <c r="K197" s="2"/>
    </row>
    <row r="198" spans="2:11" ht="14.25" thickTop="1"/>
  </sheetData>
  <sheetProtection password="DEE1" sheet="1" objects="1" scenarios="1" selectLockedCells="1"/>
  <mergeCells count="44">
    <mergeCell ref="B2:H2"/>
    <mergeCell ref="D37:F37"/>
    <mergeCell ref="D38:F38"/>
    <mergeCell ref="F46:G47"/>
    <mergeCell ref="B47:C47"/>
    <mergeCell ref="D47:E47"/>
    <mergeCell ref="F6:H6"/>
    <mergeCell ref="F7:H7"/>
    <mergeCell ref="B12:B13"/>
    <mergeCell ref="B6:B7"/>
    <mergeCell ref="C17:D17"/>
    <mergeCell ref="D20:E20"/>
    <mergeCell ref="C32:C33"/>
    <mergeCell ref="C16:G16"/>
    <mergeCell ref="Q38:R38"/>
    <mergeCell ref="D194:E194"/>
    <mergeCell ref="L51:M51"/>
    <mergeCell ref="L52:M52"/>
    <mergeCell ref="L53:M53"/>
    <mergeCell ref="D160:I160"/>
    <mergeCell ref="D190:E190"/>
    <mergeCell ref="D156:I156"/>
    <mergeCell ref="L49:M49"/>
    <mergeCell ref="L50:M50"/>
    <mergeCell ref="G51:H52"/>
    <mergeCell ref="G53:H53"/>
    <mergeCell ref="F48:G48"/>
    <mergeCell ref="B46:E46"/>
    <mergeCell ref="L48:M48"/>
    <mergeCell ref="M40:N40"/>
    <mergeCell ref="J4:K4"/>
    <mergeCell ref="J6:K6"/>
    <mergeCell ref="J32:K32"/>
    <mergeCell ref="J37:K37"/>
    <mergeCell ref="L38:M38"/>
    <mergeCell ref="D178:E178"/>
    <mergeCell ref="D182:E182"/>
    <mergeCell ref="D171:E171"/>
    <mergeCell ref="D167:E167"/>
    <mergeCell ref="L42:O42"/>
    <mergeCell ref="L43:O43"/>
    <mergeCell ref="L45:M45"/>
    <mergeCell ref="L46:M46"/>
    <mergeCell ref="L47:M47"/>
  </mergeCells>
  <phoneticPr fontId="1"/>
  <dataValidations count="10">
    <dataValidation type="list" allowBlank="1" showInputMessage="1" showErrorMessage="1" sqref="C18" xr:uid="{00000000-0002-0000-0C00-000000000000}">
      <formula1>$AE$33:$AE$34</formula1>
    </dataValidation>
    <dataValidation type="list" allowBlank="1" showInputMessage="1" showErrorMessage="1" sqref="C17:D17" xr:uid="{00000000-0002-0000-0C00-000001000000}">
      <formula1>$AD$33:$AD$36</formula1>
    </dataValidation>
    <dataValidation allowBlank="1" showInputMessage="1" showErrorMessage="1" promptTitle="sei" sqref="AE17:AE22" xr:uid="{00000000-0002-0000-0C00-000002000000}"/>
    <dataValidation type="list" allowBlank="1" showInputMessage="1" showErrorMessage="1" sqref="H21" xr:uid="{00000000-0002-0000-0C00-000003000000}">
      <formula1>$AE$35:$AE$36</formula1>
    </dataValidation>
    <dataValidation type="list" allowBlank="1" showInputMessage="1" showErrorMessage="1" sqref="C21" xr:uid="{00000000-0002-0000-0C00-000004000000}">
      <formula1>$AF$17:$AF$22</formula1>
    </dataValidation>
    <dataValidation type="list" allowBlank="1" showInputMessage="1" showErrorMessage="1" sqref="D7:E7" xr:uid="{00000000-0002-0000-0C00-000005000000}">
      <formula1>$AE$21:$AE$32</formula1>
    </dataValidation>
    <dataValidation type="list" allowBlank="1" showInputMessage="1" showErrorMessage="1" sqref="C7" xr:uid="{00000000-0002-0000-0C00-000006000000}">
      <formula1>$AE$21:$AE$22</formula1>
    </dataValidation>
    <dataValidation type="list" allowBlank="1" showInputMessage="1" showErrorMessage="1" sqref="E5" xr:uid="{00000000-0002-0000-0C00-000007000000}">
      <formula1>$AD$17:$AD$25</formula1>
    </dataValidation>
    <dataValidation type="list" allowBlank="1" showInputMessage="1" showErrorMessage="1" sqref="C5" xr:uid="{00000000-0002-0000-0C00-000008000000}">
      <formula1>$AD$30:$AD$32</formula1>
    </dataValidation>
    <dataValidation type="list" allowBlank="1" showInputMessage="1" showErrorMessage="1" sqref="C4" xr:uid="{00000000-0002-0000-0C00-000009000000}">
      <formula1>$AD$26:$AD$29</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AG218"/>
  <sheetViews>
    <sheetView showGridLines="0" showRowColHeaders="0" zoomScale="130" zoomScaleNormal="130" workbookViewId="0">
      <selection activeCell="K10" sqref="K10"/>
    </sheetView>
  </sheetViews>
  <sheetFormatPr defaultRowHeight="13.5"/>
  <cols>
    <col min="1" max="1" width="1.875" customWidth="1"/>
    <col min="2" max="3" width="8.75" style="568" customWidth="1"/>
    <col min="4" max="4" width="9.125" customWidth="1"/>
    <col min="5" max="6" width="8.75" customWidth="1"/>
    <col min="7" max="7" width="8.875" customWidth="1"/>
    <col min="8" max="8" width="10.125" customWidth="1"/>
    <col min="9" max="10" width="8.75" customWidth="1"/>
    <col min="11" max="11" width="12.375" customWidth="1"/>
    <col min="12" max="12" width="10.625" customWidth="1"/>
    <col min="13" max="13" width="8.75" customWidth="1"/>
    <col min="14" max="14" width="9.75" customWidth="1"/>
    <col min="15" max="15" width="7.125" customWidth="1"/>
    <col min="16" max="16" width="10.375" customWidth="1"/>
    <col min="18" max="18" width="9.5" bestFit="1" customWidth="1"/>
    <col min="19" max="19" width="8" customWidth="1"/>
    <col min="20" max="20" width="9.125" bestFit="1" customWidth="1"/>
    <col min="21" max="21" width="4.125" customWidth="1"/>
    <col min="23" max="23" width="9.125" bestFit="1" customWidth="1"/>
  </cols>
  <sheetData>
    <row r="2" spans="2:25" ht="21">
      <c r="B2" s="1210" t="s">
        <v>439</v>
      </c>
      <c r="C2" s="1211"/>
      <c r="D2" s="1211"/>
      <c r="E2" s="1211"/>
      <c r="F2" s="1153"/>
      <c r="G2" s="1153"/>
      <c r="H2" s="1310"/>
      <c r="I2" s="974" t="s">
        <v>495</v>
      </c>
      <c r="J2" s="975" t="s">
        <v>496</v>
      </c>
    </row>
    <row r="3" spans="2:25" ht="14.25" thickBot="1"/>
    <row r="4" spans="2:25">
      <c r="B4" s="179" t="s">
        <v>0</v>
      </c>
      <c r="C4" s="1096">
        <v>910</v>
      </c>
      <c r="D4" s="180" t="s">
        <v>4</v>
      </c>
      <c r="E4" s="180"/>
      <c r="F4" s="180"/>
      <c r="G4" s="180"/>
      <c r="H4" s="193"/>
      <c r="I4" s="567"/>
      <c r="J4" s="1168" t="s">
        <v>109</v>
      </c>
      <c r="K4" s="1270"/>
      <c r="L4" s="3"/>
      <c r="M4" s="3"/>
      <c r="N4" s="3"/>
      <c r="O4" s="3"/>
      <c r="P4" s="3"/>
      <c r="Q4" s="3"/>
      <c r="R4" s="3"/>
      <c r="S4" s="3"/>
      <c r="T4" s="3"/>
      <c r="U4" s="4"/>
    </row>
    <row r="5" spans="2:25" ht="14.25" thickBot="1">
      <c r="B5" s="68" t="s">
        <v>12</v>
      </c>
      <c r="C5" s="1121" t="s">
        <v>745</v>
      </c>
      <c r="D5" s="51" t="s">
        <v>54</v>
      </c>
      <c r="E5" s="1122" t="s">
        <v>46</v>
      </c>
      <c r="F5" s="77"/>
      <c r="G5" s="77"/>
      <c r="H5" s="34"/>
      <c r="J5" s="42"/>
      <c r="K5" s="2"/>
      <c r="L5" s="2"/>
      <c r="M5" s="2"/>
      <c r="N5" s="2"/>
      <c r="O5" s="2"/>
      <c r="P5" s="2"/>
      <c r="Q5" s="2"/>
      <c r="R5" s="2"/>
      <c r="S5" s="2"/>
      <c r="T5" s="2"/>
      <c r="U5" s="6"/>
    </row>
    <row r="6" spans="2:25" ht="15" thickTop="1" thickBot="1">
      <c r="B6" s="1320" t="s">
        <v>13</v>
      </c>
      <c r="C6" s="818" t="s">
        <v>78</v>
      </c>
      <c r="D6" s="818" t="s">
        <v>79</v>
      </c>
      <c r="E6" s="929" t="s">
        <v>79</v>
      </c>
      <c r="F6" s="1330" t="s">
        <v>177</v>
      </c>
      <c r="G6" s="1311"/>
      <c r="H6" s="1312"/>
      <c r="I6" s="339"/>
      <c r="J6" s="1172" t="s">
        <v>110</v>
      </c>
      <c r="K6" s="1173"/>
      <c r="L6" s="2"/>
      <c r="M6" s="2"/>
      <c r="N6" s="2"/>
      <c r="O6" s="2"/>
      <c r="P6" s="2"/>
      <c r="Q6" s="2"/>
      <c r="R6" s="2"/>
      <c r="S6" s="2"/>
      <c r="T6" s="2"/>
      <c r="U6" s="6"/>
    </row>
    <row r="7" spans="2:25" ht="14.25" thickBot="1">
      <c r="B7" s="1320"/>
      <c r="C7" s="1099">
        <v>120</v>
      </c>
      <c r="D7" s="1100">
        <v>180</v>
      </c>
      <c r="E7" s="1111">
        <v>180</v>
      </c>
      <c r="F7" s="1331" t="str">
        <f>IF((F9*1000/MAX(C46,E46))&lt;=12,"はりせい/スパン  OK!","使用上の支障が起きないか確認要：設計変更？？")</f>
        <v>はりせい/スパン  OK!</v>
      </c>
      <c r="G7" s="1314"/>
      <c r="H7" s="1315"/>
      <c r="I7" s="339"/>
      <c r="J7" s="42"/>
      <c r="K7" s="702"/>
      <c r="L7" s="703" t="s">
        <v>114</v>
      </c>
      <c r="M7" s="703" t="s">
        <v>116</v>
      </c>
      <c r="N7" s="750" t="s">
        <v>115</v>
      </c>
      <c r="O7" s="2"/>
      <c r="P7" s="2"/>
      <c r="Q7" s="702"/>
      <c r="R7" s="703" t="s">
        <v>114</v>
      </c>
      <c r="S7" s="703" t="s">
        <v>116</v>
      </c>
      <c r="T7" s="750" t="s">
        <v>115</v>
      </c>
      <c r="U7" s="6"/>
    </row>
    <row r="8" spans="2:25" ht="14.25" thickTop="1">
      <c r="B8" s="230"/>
      <c r="C8" s="182"/>
      <c r="D8" s="47" t="s">
        <v>492</v>
      </c>
      <c r="E8" s="928" t="s">
        <v>480</v>
      </c>
      <c r="F8" s="41"/>
      <c r="G8" s="41"/>
      <c r="H8" s="34"/>
      <c r="J8" s="797" t="s">
        <v>199</v>
      </c>
      <c r="K8" s="1144" t="s">
        <v>205</v>
      </c>
      <c r="L8" s="1105">
        <v>100</v>
      </c>
      <c r="M8" s="833"/>
      <c r="N8" s="932"/>
      <c r="O8" s="883"/>
      <c r="P8" s="883" t="s">
        <v>482</v>
      </c>
      <c r="Q8" s="1128" t="s">
        <v>113</v>
      </c>
      <c r="R8" s="1077">
        <v>100</v>
      </c>
      <c r="S8" s="317"/>
      <c r="T8" s="933"/>
      <c r="U8" s="6"/>
      <c r="V8" s="2"/>
      <c r="W8" s="2"/>
      <c r="X8" s="2"/>
      <c r="Y8" s="2"/>
    </row>
    <row r="9" spans="2:25">
      <c r="B9" s="310"/>
      <c r="E9" s="561" t="s">
        <v>387</v>
      </c>
      <c r="F9" s="1103">
        <v>1.82</v>
      </c>
      <c r="G9" s="77" t="s">
        <v>77</v>
      </c>
      <c r="H9" s="34"/>
      <c r="J9" s="942"/>
      <c r="K9" s="1145" t="s">
        <v>204</v>
      </c>
      <c r="L9" s="1105">
        <v>80</v>
      </c>
      <c r="M9" s="834"/>
      <c r="N9" s="751"/>
      <c r="O9" s="893"/>
      <c r="P9" s="890" t="s">
        <v>112</v>
      </c>
      <c r="Q9" s="1128" t="s">
        <v>117</v>
      </c>
      <c r="R9" s="1077">
        <v>100</v>
      </c>
      <c r="S9" s="723"/>
      <c r="T9" s="724"/>
      <c r="U9" s="6"/>
      <c r="V9" s="2"/>
      <c r="W9" s="2"/>
      <c r="X9" s="2"/>
      <c r="Y9" s="2"/>
    </row>
    <row r="10" spans="2:25" ht="14.25" thickBot="1">
      <c r="B10" s="959" t="s">
        <v>444</v>
      </c>
      <c r="C10" s="1123">
        <v>1.82</v>
      </c>
      <c r="D10" s="52" t="s">
        <v>395</v>
      </c>
      <c r="H10" s="34"/>
      <c r="J10" s="42"/>
      <c r="K10" s="1146"/>
      <c r="L10" s="1105">
        <v>0</v>
      </c>
      <c r="M10" s="834"/>
      <c r="N10" s="751"/>
      <c r="O10" s="892"/>
      <c r="P10" s="77"/>
      <c r="Q10" s="1129" t="s">
        <v>128</v>
      </c>
      <c r="R10" s="1078">
        <v>100</v>
      </c>
      <c r="S10" s="965">
        <f>SUM(R8:R10)</f>
        <v>300</v>
      </c>
      <c r="T10" s="966">
        <f>+ROUNDUP(S10/5,-1)*5</f>
        <v>300</v>
      </c>
      <c r="U10" s="6"/>
      <c r="V10" s="2"/>
      <c r="W10" s="2"/>
      <c r="X10" s="2"/>
      <c r="Y10" s="2"/>
    </row>
    <row r="11" spans="2:25">
      <c r="B11" s="68" t="s">
        <v>5</v>
      </c>
      <c r="C11" s="561">
        <v>2</v>
      </c>
      <c r="D11" s="77"/>
      <c r="E11" s="51" t="s">
        <v>454</v>
      </c>
      <c r="F11" s="1103">
        <v>0.4</v>
      </c>
      <c r="G11" s="894"/>
      <c r="H11" s="889"/>
      <c r="J11" s="42"/>
      <c r="K11" s="1145" t="s">
        <v>487</v>
      </c>
      <c r="L11" s="1105">
        <v>40</v>
      </c>
      <c r="M11" s="835"/>
      <c r="N11" s="910"/>
      <c r="O11" s="892"/>
      <c r="P11" s="77"/>
      <c r="Q11" s="580" t="s">
        <v>111</v>
      </c>
      <c r="R11" s="77" t="s">
        <v>127</v>
      </c>
      <c r="S11" s="77"/>
      <c r="T11" s="77"/>
      <c r="U11" s="6"/>
      <c r="V11" s="2"/>
      <c r="W11" s="2"/>
      <c r="X11" s="2"/>
      <c r="Y11" s="2"/>
    </row>
    <row r="12" spans="2:25" ht="14.25" customHeight="1" thickBot="1">
      <c r="B12" s="1356" t="s">
        <v>107</v>
      </c>
      <c r="C12" s="906" t="s">
        <v>96</v>
      </c>
      <c r="D12" s="859" t="s">
        <v>90</v>
      </c>
      <c r="E12" s="859" t="s">
        <v>103</v>
      </c>
      <c r="G12" s="895"/>
      <c r="H12" s="896"/>
      <c r="J12" s="42"/>
      <c r="K12" s="1145" t="s">
        <v>486</v>
      </c>
      <c r="L12" s="1105">
        <v>50</v>
      </c>
      <c r="M12" s="961">
        <f>SUM(L8:L12)</f>
        <v>270</v>
      </c>
      <c r="N12" s="963">
        <f>+ROUNDUP(M12/5,-1)*5</f>
        <v>300</v>
      </c>
      <c r="O12" s="2"/>
      <c r="P12" s="2"/>
      <c r="Q12" s="2"/>
      <c r="R12" s="2"/>
      <c r="S12" s="2"/>
      <c r="T12" s="2"/>
      <c r="U12" s="6"/>
      <c r="V12" s="2"/>
      <c r="W12" s="2"/>
      <c r="X12" s="2"/>
      <c r="Y12" s="883"/>
    </row>
    <row r="13" spans="2:25" ht="14.25" thickBot="1">
      <c r="B13" s="1357"/>
      <c r="C13" s="1088">
        <v>1</v>
      </c>
      <c r="D13" s="1087">
        <v>1</v>
      </c>
      <c r="E13" s="1087">
        <v>1</v>
      </c>
      <c r="F13" s="1377" t="s">
        <v>443</v>
      </c>
      <c r="G13" s="1378"/>
      <c r="H13" s="1379"/>
      <c r="J13" s="42"/>
      <c r="K13" s="1362" t="s">
        <v>216</v>
      </c>
      <c r="L13" s="1363"/>
      <c r="M13" s="962">
        <f>M12*$O$41</f>
        <v>290.7988995852632</v>
      </c>
      <c r="N13" s="964">
        <f>+ROUNDUP(M13/5,-1)*5</f>
        <v>300</v>
      </c>
      <c r="O13" s="2"/>
      <c r="P13" s="2"/>
      <c r="Q13" s="2"/>
      <c r="R13" s="2"/>
      <c r="S13" s="2"/>
      <c r="T13" s="2"/>
      <c r="U13" s="6"/>
      <c r="V13" s="2"/>
      <c r="W13" s="2"/>
      <c r="X13" s="2"/>
      <c r="Y13" s="2"/>
    </row>
    <row r="14" spans="2:25">
      <c r="B14" s="68" t="s">
        <v>7</v>
      </c>
      <c r="C14" s="225">
        <f>IF(C46&gt;300,(300/C46)^(1/9),1)</f>
        <v>1</v>
      </c>
      <c r="D14" s="51"/>
      <c r="F14" s="611" t="s">
        <v>82</v>
      </c>
      <c r="G14" s="1124">
        <v>1</v>
      </c>
      <c r="H14" s="1373" t="s">
        <v>440</v>
      </c>
      <c r="J14" s="42"/>
      <c r="K14" s="890" t="s">
        <v>210</v>
      </c>
      <c r="L14" s="19" t="s">
        <v>127</v>
      </c>
      <c r="M14" s="2"/>
      <c r="N14" s="2"/>
      <c r="O14" s="2"/>
      <c r="P14" s="2"/>
      <c r="Q14" s="2"/>
      <c r="R14" s="2"/>
      <c r="S14" s="2"/>
      <c r="T14" s="2"/>
      <c r="U14" s="6"/>
      <c r="V14" s="2"/>
      <c r="W14" s="2"/>
      <c r="X14" s="2"/>
      <c r="Y14" s="2"/>
    </row>
    <row r="15" spans="2:25" ht="14.25" thickBot="1">
      <c r="B15" s="466" t="s">
        <v>388</v>
      </c>
      <c r="C15" s="1127">
        <v>2700</v>
      </c>
      <c r="D15" t="s">
        <v>4</v>
      </c>
      <c r="E15" s="77"/>
      <c r="F15" s="611" t="s">
        <v>199</v>
      </c>
      <c r="G15" s="1125">
        <v>1</v>
      </c>
      <c r="H15" s="1196"/>
      <c r="J15" s="42"/>
      <c r="K15" s="2"/>
      <c r="L15" s="2"/>
      <c r="M15" s="2"/>
      <c r="N15" s="2"/>
      <c r="O15" s="2"/>
      <c r="P15" s="2"/>
      <c r="Q15" s="2"/>
      <c r="R15" s="2"/>
      <c r="S15" s="2"/>
      <c r="T15" s="2"/>
      <c r="U15" s="6"/>
      <c r="V15" s="2"/>
      <c r="W15" s="2"/>
      <c r="X15" s="2"/>
      <c r="Y15" s="2"/>
    </row>
    <row r="16" spans="2:25">
      <c r="B16" s="68" t="s">
        <v>180</v>
      </c>
      <c r="C16" s="1321" t="s">
        <v>398</v>
      </c>
      <c r="D16" s="1372"/>
      <c r="E16" s="561"/>
      <c r="F16" s="612" t="s">
        <v>441</v>
      </c>
      <c r="G16" s="1125">
        <v>1</v>
      </c>
      <c r="H16" s="1196"/>
      <c r="I16" s="2"/>
      <c r="J16" s="712" t="s">
        <v>484</v>
      </c>
      <c r="K16" s="702"/>
      <c r="L16" s="703" t="s">
        <v>114</v>
      </c>
      <c r="M16" s="703" t="s">
        <v>116</v>
      </c>
      <c r="N16" s="750" t="s">
        <v>115</v>
      </c>
      <c r="O16" s="2"/>
      <c r="P16" s="472" t="s">
        <v>485</v>
      </c>
      <c r="Q16" s="702"/>
      <c r="R16" s="703" t="s">
        <v>114</v>
      </c>
      <c r="S16" s="703" t="s">
        <v>116</v>
      </c>
      <c r="T16" s="750" t="s">
        <v>115</v>
      </c>
      <c r="U16" s="6"/>
      <c r="V16" s="2"/>
      <c r="W16" s="2"/>
      <c r="X16" s="2"/>
      <c r="Y16" s="2"/>
    </row>
    <row r="17" spans="2:32" ht="14.25" thickBot="1">
      <c r="B17" s="230"/>
      <c r="C17" s="1372"/>
      <c r="D17" s="1372"/>
      <c r="E17" s="77"/>
      <c r="F17" s="607" t="s">
        <v>442</v>
      </c>
      <c r="G17" s="1126">
        <v>1</v>
      </c>
      <c r="H17" s="1178"/>
      <c r="I17" s="563"/>
      <c r="J17" s="42"/>
      <c r="K17" s="1148" t="s">
        <v>259</v>
      </c>
      <c r="L17" s="1077">
        <v>40</v>
      </c>
      <c r="M17" s="833"/>
      <c r="N17" s="932"/>
      <c r="O17" s="2"/>
      <c r="P17" s="2"/>
      <c r="Q17" s="1147" t="s">
        <v>359</v>
      </c>
      <c r="R17" s="1077">
        <v>640</v>
      </c>
      <c r="S17" s="317"/>
      <c r="T17" s="933"/>
      <c r="U17" s="6"/>
      <c r="V17" s="2"/>
      <c r="W17" s="2"/>
      <c r="X17" s="2"/>
      <c r="Y17" s="2"/>
      <c r="AD17" s="885" t="s">
        <v>46</v>
      </c>
      <c r="AE17" s="2">
        <v>45</v>
      </c>
      <c r="AF17">
        <v>1</v>
      </c>
    </row>
    <row r="18" spans="2:32">
      <c r="B18" s="108" t="s">
        <v>469</v>
      </c>
      <c r="C18" s="1250" t="s">
        <v>183</v>
      </c>
      <c r="D18" s="1236"/>
      <c r="H18" s="77"/>
      <c r="I18" s="42"/>
      <c r="J18" s="42"/>
      <c r="K18" s="1149" t="s">
        <v>260</v>
      </c>
      <c r="L18" s="1077">
        <v>30</v>
      </c>
      <c r="M18" s="834"/>
      <c r="N18" s="751"/>
      <c r="O18" s="2"/>
      <c r="P18" s="2"/>
      <c r="Q18" s="1147" t="s">
        <v>359</v>
      </c>
      <c r="R18" s="1077">
        <v>0</v>
      </c>
      <c r="S18" s="969">
        <f>SUM(R17:R18)</f>
        <v>640</v>
      </c>
      <c r="T18" s="970">
        <f>+ROUNDUP(S18/5,-1)*5</f>
        <v>650</v>
      </c>
      <c r="U18" s="6"/>
      <c r="V18" s="2"/>
      <c r="W18" s="2"/>
      <c r="X18" s="2"/>
      <c r="Y18" s="2"/>
      <c r="AD18" s="885" t="s">
        <v>45</v>
      </c>
      <c r="AE18" s="2">
        <v>60</v>
      </c>
      <c r="AF18">
        <v>2</v>
      </c>
    </row>
    <row r="19" spans="2:32" ht="14.25" thickBot="1">
      <c r="B19" s="108" t="s">
        <v>195</v>
      </c>
      <c r="C19" s="1099" t="s">
        <v>189</v>
      </c>
      <c r="H19" s="561"/>
      <c r="I19" s="42"/>
      <c r="J19" s="42"/>
      <c r="K19" s="1149" t="s">
        <v>261</v>
      </c>
      <c r="L19" s="1077">
        <v>100</v>
      </c>
      <c r="M19" s="834"/>
      <c r="N19" s="751"/>
      <c r="O19" s="2"/>
      <c r="P19" s="2"/>
      <c r="Q19" s="1362" t="s">
        <v>216</v>
      </c>
      <c r="R19" s="1363"/>
      <c r="S19" s="962">
        <f>S18*$O$41</f>
        <v>689.30109531321648</v>
      </c>
      <c r="T19" s="971">
        <f>+ROUNDUP(S19/5,-1)*5</f>
        <v>700</v>
      </c>
      <c r="U19" s="6"/>
      <c r="V19" s="2"/>
      <c r="W19" s="2"/>
      <c r="X19" s="2"/>
      <c r="Y19" s="2"/>
      <c r="AD19" s="885" t="s">
        <v>47</v>
      </c>
      <c r="AE19" s="2">
        <v>75</v>
      </c>
      <c r="AF19">
        <v>3</v>
      </c>
    </row>
    <row r="20" spans="2:32" ht="14.25" thickBot="1">
      <c r="B20" s="466" t="s">
        <v>361</v>
      </c>
      <c r="C20" s="1127">
        <v>60</v>
      </c>
      <c r="D20" s="77" t="s">
        <v>367</v>
      </c>
      <c r="E20" s="561"/>
      <c r="F20" s="565"/>
      <c r="G20" s="561"/>
      <c r="H20" s="561"/>
      <c r="I20" s="5"/>
      <c r="J20" s="42"/>
      <c r="K20" s="1150" t="s">
        <v>262</v>
      </c>
      <c r="L20" s="1078">
        <v>30</v>
      </c>
      <c r="M20" s="967">
        <f>SUM(L17:L20)</f>
        <v>200</v>
      </c>
      <c r="N20" s="968">
        <f>+ROUNDUP(M20/5,-1)*5</f>
        <v>200</v>
      </c>
      <c r="O20" s="2"/>
      <c r="P20" s="2"/>
      <c r="Q20" s="890" t="s">
        <v>210</v>
      </c>
      <c r="R20" s="19" t="s">
        <v>127</v>
      </c>
      <c r="S20" s="77"/>
      <c r="T20" s="77"/>
      <c r="U20" s="6"/>
      <c r="V20" s="2"/>
      <c r="W20" s="2"/>
      <c r="X20" s="2"/>
      <c r="Y20" s="2"/>
      <c r="AD20" s="885" t="s">
        <v>48</v>
      </c>
      <c r="AE20" s="2">
        <v>90</v>
      </c>
      <c r="AF20">
        <v>4</v>
      </c>
    </row>
    <row r="21" spans="2:32" ht="14.25" thickBot="1">
      <c r="B21" s="907" t="s">
        <v>191</v>
      </c>
      <c r="C21" s="1119">
        <v>4</v>
      </c>
      <c r="D21" s="46" t="s">
        <v>211</v>
      </c>
      <c r="E21" s="210">
        <f>ATAN(C21/10)*180/PI()</f>
        <v>21.801409486351812</v>
      </c>
      <c r="F21" s="77" t="s">
        <v>207</v>
      </c>
      <c r="G21" s="561" t="s">
        <v>192</v>
      </c>
      <c r="H21" s="1109" t="s">
        <v>243</v>
      </c>
      <c r="I21" s="42"/>
      <c r="J21" s="42"/>
      <c r="K21" s="400" t="s">
        <v>258</v>
      </c>
      <c r="L21" s="19" t="s">
        <v>127</v>
      </c>
      <c r="M21" s="2"/>
      <c r="N21" s="2"/>
      <c r="O21" s="399"/>
      <c r="P21" s="2"/>
      <c r="Q21" s="2"/>
      <c r="R21" s="2"/>
      <c r="S21" s="2"/>
      <c r="T21" s="2"/>
      <c r="U21" s="6"/>
      <c r="V21" s="2"/>
      <c r="W21" s="2"/>
      <c r="X21" s="2"/>
      <c r="Y21" s="2"/>
      <c r="AD21" s="885" t="s">
        <v>49</v>
      </c>
      <c r="AE21" s="2">
        <v>105</v>
      </c>
      <c r="AF21">
        <v>5</v>
      </c>
    </row>
    <row r="22" spans="2:32" ht="14.25" thickBot="1">
      <c r="B22" s="503" t="s">
        <v>263</v>
      </c>
      <c r="C22" s="504"/>
      <c r="D22" s="566"/>
      <c r="E22" s="180"/>
      <c r="F22" s="180"/>
      <c r="G22" s="501"/>
      <c r="H22" s="502"/>
      <c r="I22" s="42"/>
      <c r="J22" s="42"/>
      <c r="K22" s="2"/>
      <c r="L22" s="2"/>
      <c r="M22" s="2"/>
      <c r="N22" s="2"/>
      <c r="O22" s="2"/>
      <c r="P22" s="2"/>
      <c r="Q22" s="2"/>
      <c r="R22" s="2"/>
      <c r="S22" s="2"/>
      <c r="T22" s="2"/>
      <c r="U22" s="6"/>
      <c r="V22" s="2"/>
      <c r="W22" s="2"/>
      <c r="X22" s="2"/>
      <c r="Y22" s="2"/>
      <c r="AD22" s="885" t="s">
        <v>50</v>
      </c>
      <c r="AE22" s="2">
        <v>120</v>
      </c>
      <c r="AF22">
        <v>6</v>
      </c>
    </row>
    <row r="23" spans="2:32">
      <c r="B23" s="387" t="s">
        <v>221</v>
      </c>
      <c r="C23" s="573"/>
      <c r="D23" s="489" t="s">
        <v>389</v>
      </c>
      <c r="E23" s="490">
        <f>(F11)*(C7)*(D7)*9.8/1000</f>
        <v>84.671999999999997</v>
      </c>
      <c r="F23" s="491" t="s">
        <v>396</v>
      </c>
      <c r="G23" s="77"/>
      <c r="I23" s="42"/>
      <c r="J23" s="712" t="s">
        <v>375</v>
      </c>
      <c r="K23" s="702"/>
      <c r="L23" s="703" t="s">
        <v>114</v>
      </c>
      <c r="M23" s="703" t="s">
        <v>116</v>
      </c>
      <c r="N23" s="750" t="s">
        <v>115</v>
      </c>
      <c r="O23" s="2"/>
      <c r="P23" s="2"/>
      <c r="Q23" s="2"/>
      <c r="R23" s="2"/>
      <c r="S23" s="2"/>
      <c r="T23" s="2"/>
      <c r="U23" s="6"/>
      <c r="V23" s="2"/>
      <c r="W23" s="2"/>
      <c r="X23" s="2"/>
      <c r="Y23" s="2"/>
      <c r="AD23" s="885" t="s">
        <v>51</v>
      </c>
      <c r="AE23">
        <v>135</v>
      </c>
      <c r="AF23">
        <v>7</v>
      </c>
    </row>
    <row r="24" spans="2:32" ht="14.25" thickBot="1">
      <c r="B24" s="68"/>
      <c r="C24" s="182"/>
      <c r="D24" s="492" t="s">
        <v>375</v>
      </c>
      <c r="E24" s="194">
        <f>(P53)*(C15)/1000</f>
        <v>1350</v>
      </c>
      <c r="F24" s="493" t="s">
        <v>396</v>
      </c>
      <c r="G24" s="41"/>
      <c r="H24" s="34"/>
      <c r="I24" s="42"/>
      <c r="J24" s="42"/>
      <c r="K24" s="1144" t="s">
        <v>379</v>
      </c>
      <c r="L24" s="1105">
        <v>150</v>
      </c>
      <c r="M24" s="833"/>
      <c r="N24" s="932"/>
      <c r="O24" s="2"/>
      <c r="P24" s="2"/>
      <c r="Q24" s="2"/>
      <c r="R24" s="2"/>
      <c r="S24" s="2"/>
      <c r="T24" s="2"/>
      <c r="U24" s="6"/>
      <c r="V24" s="2"/>
      <c r="W24" s="2"/>
      <c r="X24" s="2"/>
      <c r="Y24" s="2"/>
      <c r="AD24" s="885" t="s">
        <v>52</v>
      </c>
      <c r="AE24">
        <v>150</v>
      </c>
      <c r="AF24">
        <v>8</v>
      </c>
    </row>
    <row r="25" spans="2:32" ht="14.25" thickBot="1">
      <c r="B25" s="562"/>
      <c r="C25" s="182"/>
      <c r="D25" s="494" t="s">
        <v>426</v>
      </c>
      <c r="E25" s="495">
        <f>(E23)</f>
        <v>84.671999999999997</v>
      </c>
      <c r="F25" s="496" t="s">
        <v>396</v>
      </c>
      <c r="H25" s="34"/>
      <c r="I25" s="42"/>
      <c r="J25" s="42"/>
      <c r="K25" s="1145" t="s">
        <v>378</v>
      </c>
      <c r="L25" s="1105">
        <v>150</v>
      </c>
      <c r="M25" s="834"/>
      <c r="N25" s="751"/>
      <c r="O25" s="2"/>
      <c r="P25" s="2"/>
      <c r="Q25" s="2"/>
      <c r="R25" s="2"/>
      <c r="S25" s="2"/>
      <c r="T25" s="2"/>
      <c r="U25" s="6"/>
      <c r="V25" s="2"/>
      <c r="W25" s="2"/>
      <c r="X25" s="684"/>
      <c r="Y25" s="2"/>
      <c r="AD25" s="885" t="s">
        <v>53</v>
      </c>
      <c r="AE25">
        <v>180</v>
      </c>
      <c r="AF25">
        <v>9</v>
      </c>
    </row>
    <row r="26" spans="2:32">
      <c r="B26" s="68"/>
      <c r="H26" s="6"/>
      <c r="J26" s="42"/>
      <c r="K26" s="1149" t="s">
        <v>380</v>
      </c>
      <c r="L26" s="1105">
        <v>150</v>
      </c>
      <c r="M26" s="834"/>
      <c r="N26" s="751"/>
      <c r="O26" s="2"/>
      <c r="P26" s="2"/>
      <c r="Q26" s="2"/>
      <c r="R26" s="2"/>
      <c r="S26" s="2"/>
      <c r="T26" s="2"/>
      <c r="U26" s="6"/>
      <c r="V26" s="2"/>
      <c r="W26" s="2"/>
      <c r="X26" s="2"/>
      <c r="Y26" s="2"/>
      <c r="AD26" s="7">
        <v>910</v>
      </c>
      <c r="AE26">
        <v>210</v>
      </c>
      <c r="AF26" s="38">
        <v>1</v>
      </c>
    </row>
    <row r="27" spans="2:32">
      <c r="B27" s="230"/>
      <c r="C27" s="1374" t="s">
        <v>488</v>
      </c>
      <c r="D27" s="839" t="s">
        <v>402</v>
      </c>
      <c r="E27" s="1077">
        <v>0.91</v>
      </c>
      <c r="F27" s="951"/>
      <c r="H27" s="6"/>
      <c r="J27" s="42"/>
      <c r="K27" s="1145" t="s">
        <v>262</v>
      </c>
      <c r="L27" s="1105">
        <v>50</v>
      </c>
      <c r="M27" s="834"/>
      <c r="N27" s="751"/>
      <c r="O27" s="2"/>
      <c r="P27" s="2"/>
      <c r="Q27" s="2"/>
      <c r="R27" s="2"/>
      <c r="S27" s="2"/>
      <c r="T27" s="2"/>
      <c r="U27" s="6"/>
      <c r="V27" s="2"/>
      <c r="W27" s="2"/>
      <c r="X27" s="2"/>
      <c r="Y27" s="883"/>
      <c r="AD27" s="7">
        <v>950</v>
      </c>
      <c r="AE27">
        <v>240</v>
      </c>
      <c r="AF27" s="38">
        <v>1.1499999999999999</v>
      </c>
    </row>
    <row r="28" spans="2:32" ht="14.25" thickBot="1">
      <c r="B28" s="230"/>
      <c r="C28" s="1375"/>
      <c r="D28" s="859" t="s">
        <v>403</v>
      </c>
      <c r="E28" s="1077">
        <v>0</v>
      </c>
      <c r="F28" s="950" t="s">
        <v>424</v>
      </c>
      <c r="G28" s="182"/>
      <c r="H28" s="34"/>
      <c r="J28" s="42"/>
      <c r="K28" s="1151"/>
      <c r="L28" s="1120">
        <v>0</v>
      </c>
      <c r="M28" s="939">
        <f>SUM(L24:L28)</f>
        <v>500</v>
      </c>
      <c r="N28" s="972">
        <f>+ROUNDUP(M28/5,-1)*5</f>
        <v>500</v>
      </c>
      <c r="O28" s="2"/>
      <c r="P28" s="2"/>
      <c r="Q28" s="2"/>
      <c r="R28" s="2"/>
      <c r="S28" s="2"/>
      <c r="T28" s="2"/>
      <c r="U28" s="6"/>
      <c r="V28" s="2"/>
      <c r="W28" s="2"/>
      <c r="X28" s="2"/>
      <c r="Y28" s="2"/>
      <c r="AD28" s="7">
        <v>1000</v>
      </c>
      <c r="AE28">
        <v>270</v>
      </c>
      <c r="AF28" s="38">
        <v>1.25</v>
      </c>
    </row>
    <row r="29" spans="2:32" ht="14.25" thickBot="1">
      <c r="B29" s="310"/>
      <c r="C29" s="476"/>
      <c r="D29" s="2"/>
      <c r="E29" s="2"/>
      <c r="F29" s="2"/>
      <c r="G29" s="2"/>
      <c r="H29" s="6"/>
      <c r="J29" s="42"/>
      <c r="K29" s="890" t="s">
        <v>376</v>
      </c>
      <c r="L29" s="19" t="s">
        <v>127</v>
      </c>
      <c r="M29" s="77"/>
      <c r="N29" s="77"/>
      <c r="O29" s="2"/>
      <c r="P29" s="2"/>
      <c r="Q29" s="2"/>
      <c r="R29" s="2"/>
      <c r="S29" s="2"/>
      <c r="T29" s="2"/>
      <c r="U29" s="6"/>
      <c r="V29" s="2"/>
      <c r="W29" s="2"/>
      <c r="X29" s="2"/>
      <c r="Y29" s="2"/>
      <c r="AD29" s="7">
        <v>985</v>
      </c>
      <c r="AE29">
        <v>300</v>
      </c>
      <c r="AF29" s="559" t="s">
        <v>168</v>
      </c>
    </row>
    <row r="30" spans="2:32" ht="14.25" thickBot="1">
      <c r="B30" s="500" t="s">
        <v>143</v>
      </c>
      <c r="C30" s="609"/>
      <c r="D30" s="953" t="s">
        <v>267</v>
      </c>
      <c r="E30" s="952" t="s">
        <v>228</v>
      </c>
      <c r="F30" s="952" t="s">
        <v>229</v>
      </c>
      <c r="G30" s="329"/>
      <c r="H30" s="330"/>
      <c r="J30" s="42"/>
      <c r="K30" s="2"/>
      <c r="L30" s="2"/>
      <c r="M30" s="2"/>
      <c r="N30" s="2"/>
      <c r="O30" s="2"/>
      <c r="P30" s="2"/>
      <c r="Q30" s="2"/>
      <c r="R30" s="2"/>
      <c r="S30" s="2"/>
      <c r="T30" s="2"/>
      <c r="U30" s="6"/>
      <c r="V30" s="2"/>
      <c r="W30" s="2"/>
      <c r="X30" s="2"/>
      <c r="Y30" s="2"/>
      <c r="AD30" s="7" t="s">
        <v>55</v>
      </c>
      <c r="AE30">
        <v>330</v>
      </c>
      <c r="AF30" s="559" t="s">
        <v>169</v>
      </c>
    </row>
    <row r="31" spans="2:32">
      <c r="B31" s="310"/>
      <c r="C31" s="610" t="s">
        <v>199</v>
      </c>
      <c r="D31" s="511">
        <f>(P46)*(G15)</f>
        <v>300</v>
      </c>
      <c r="E31" s="511">
        <f>(P47)*(G15)</f>
        <v>943</v>
      </c>
      <c r="F31" s="511">
        <f>(P48)*(G15)</f>
        <v>1218</v>
      </c>
      <c r="G31" s="509" t="s">
        <v>237</v>
      </c>
      <c r="H31" s="6"/>
      <c r="J31" s="1172" t="s">
        <v>494</v>
      </c>
      <c r="K31" s="1265"/>
      <c r="L31" s="77"/>
      <c r="M31" s="77"/>
      <c r="N31" s="77"/>
      <c r="O31" s="2"/>
      <c r="P31" s="2"/>
      <c r="Q31" s="2"/>
      <c r="R31" s="2"/>
      <c r="S31" s="2"/>
      <c r="T31" s="2"/>
      <c r="U31" s="6"/>
      <c r="V31" s="2"/>
      <c r="W31" s="2"/>
      <c r="X31" s="2"/>
      <c r="Y31" s="2"/>
      <c r="AD31" s="569" t="s">
        <v>56</v>
      </c>
      <c r="AE31">
        <v>360</v>
      </c>
      <c r="AF31" s="559" t="s">
        <v>170</v>
      </c>
    </row>
    <row r="32" spans="2:32" ht="14.25" thickBot="1">
      <c r="B32" s="230"/>
      <c r="C32" s="603" t="s">
        <v>357</v>
      </c>
      <c r="D32" s="1353">
        <f>(P50)*(G16)</f>
        <v>700</v>
      </c>
      <c r="E32" s="1354"/>
      <c r="F32" s="1355"/>
      <c r="G32" s="510" t="s">
        <v>237</v>
      </c>
      <c r="H32" s="6"/>
      <c r="J32" s="42"/>
      <c r="K32" s="884"/>
      <c r="L32" s="684"/>
      <c r="M32" s="684"/>
      <c r="N32" s="28" t="s">
        <v>450</v>
      </c>
      <c r="O32" s="2"/>
      <c r="P32" s="2"/>
      <c r="Q32" s="2"/>
      <c r="R32" s="2"/>
      <c r="S32" s="2"/>
      <c r="T32" s="2"/>
      <c r="U32" s="6"/>
      <c r="V32" s="2"/>
      <c r="W32" s="2"/>
      <c r="X32" s="2"/>
      <c r="Y32" s="2"/>
      <c r="AD32" s="569" t="s">
        <v>57</v>
      </c>
      <c r="AE32">
        <v>390</v>
      </c>
      <c r="AF32" s="559" t="s">
        <v>171</v>
      </c>
    </row>
    <row r="33" spans="2:33" ht="14.25" thickBot="1">
      <c r="B33" s="230"/>
      <c r="C33" s="604" t="s">
        <v>256</v>
      </c>
      <c r="D33" s="1364">
        <f>(P49)*(G17)</f>
        <v>200</v>
      </c>
      <c r="E33" s="1365"/>
      <c r="F33" s="1366"/>
      <c r="G33" s="514" t="s">
        <v>237</v>
      </c>
      <c r="H33" s="6"/>
      <c r="J33" s="711"/>
      <c r="K33" s="706" t="s">
        <v>453</v>
      </c>
      <c r="L33" s="1079">
        <v>1800</v>
      </c>
      <c r="M33" s="51"/>
      <c r="N33" s="28" t="s">
        <v>453</v>
      </c>
      <c r="O33" s="885">
        <v>1800</v>
      </c>
      <c r="P33" s="2"/>
      <c r="Q33" s="2"/>
      <c r="R33" s="2"/>
      <c r="S33" s="2"/>
      <c r="T33" s="2"/>
      <c r="U33" s="6"/>
      <c r="V33" s="2"/>
      <c r="W33" s="2"/>
      <c r="X33" s="2"/>
      <c r="Y33" s="2"/>
      <c r="AD33" s="41" t="s">
        <v>183</v>
      </c>
      <c r="AE33" s="45" t="s">
        <v>189</v>
      </c>
      <c r="AF33" s="568" t="s">
        <v>187</v>
      </c>
    </row>
    <row r="34" spans="2:33" ht="14.25" thickBot="1">
      <c r="B34" s="230"/>
      <c r="C34" s="605" t="s">
        <v>284</v>
      </c>
      <c r="D34" s="512">
        <f>(D31)+($D$32)+($D$33)</f>
        <v>1200</v>
      </c>
      <c r="E34" s="512">
        <f>(E31)+($D$32)+($D$33)</f>
        <v>1843</v>
      </c>
      <c r="F34" s="512">
        <f>(F31)+($D$32)+($D$33)</f>
        <v>2118</v>
      </c>
      <c r="G34" s="513" t="s">
        <v>237</v>
      </c>
      <c r="H34" s="6"/>
      <c r="I34" s="2"/>
      <c r="J34" s="711"/>
      <c r="K34" s="708" t="s">
        <v>122</v>
      </c>
      <c r="L34" s="1080">
        <v>600</v>
      </c>
      <c r="M34" s="51" t="s">
        <v>121</v>
      </c>
      <c r="N34" s="28" t="s">
        <v>122</v>
      </c>
      <c r="O34" s="885">
        <v>600</v>
      </c>
      <c r="P34" s="2"/>
      <c r="Q34" s="2"/>
      <c r="R34" s="2"/>
      <c r="S34" s="2"/>
      <c r="T34" s="2"/>
      <c r="U34" s="6"/>
      <c r="V34" s="2"/>
      <c r="W34" s="2"/>
      <c r="X34" s="2"/>
      <c r="Y34" s="2"/>
      <c r="AD34" s="41" t="s">
        <v>184</v>
      </c>
      <c r="AE34" s="45" t="s">
        <v>190</v>
      </c>
      <c r="AF34" s="564" t="s">
        <v>188</v>
      </c>
    </row>
    <row r="35" spans="2:33">
      <c r="B35" s="310"/>
      <c r="H35" s="6"/>
      <c r="I35" s="2"/>
      <c r="J35" s="42"/>
      <c r="K35" s="2"/>
      <c r="L35" s="2"/>
      <c r="M35" s="2"/>
      <c r="N35" s="2"/>
      <c r="O35" s="2"/>
      <c r="P35" s="2"/>
      <c r="Q35" s="2"/>
      <c r="R35" s="2"/>
      <c r="S35" s="2"/>
      <c r="T35" s="2"/>
      <c r="U35" s="6"/>
      <c r="V35" s="2"/>
      <c r="W35" s="2"/>
      <c r="X35" s="2"/>
      <c r="Y35" s="2"/>
      <c r="AD35" s="41" t="s">
        <v>185</v>
      </c>
      <c r="AE35" s="560" t="s">
        <v>193</v>
      </c>
      <c r="AF35" s="560" t="s">
        <v>118</v>
      </c>
      <c r="AG35" s="52" t="s">
        <v>420</v>
      </c>
    </row>
    <row r="36" spans="2:33">
      <c r="B36" s="310"/>
      <c r="C36" s="1367" t="s">
        <v>82</v>
      </c>
      <c r="D36" s="350">
        <f>(P51)*(G14)</f>
        <v>2100</v>
      </c>
      <c r="E36" s="316" t="s">
        <v>396</v>
      </c>
      <c r="F36" s="973" t="s">
        <v>84</v>
      </c>
      <c r="H36" s="6"/>
      <c r="I36" s="2"/>
      <c r="J36" s="42"/>
      <c r="K36" s="2"/>
      <c r="L36" s="2"/>
      <c r="M36" s="2"/>
      <c r="N36" s="2"/>
      <c r="O36" s="2"/>
      <c r="P36" s="2"/>
      <c r="Q36" s="2"/>
      <c r="R36" s="2"/>
      <c r="S36" s="2"/>
      <c r="T36" s="2"/>
      <c r="U36" s="6"/>
      <c r="V36" s="2"/>
      <c r="W36" s="2"/>
      <c r="X36" s="2"/>
      <c r="Y36" s="2"/>
      <c r="AD36" s="41" t="s">
        <v>186</v>
      </c>
      <c r="AE36" s="560" t="s">
        <v>108</v>
      </c>
      <c r="AF36" s="571" t="s">
        <v>119</v>
      </c>
      <c r="AG36" s="52" t="s">
        <v>421</v>
      </c>
    </row>
    <row r="37" spans="2:33">
      <c r="B37" s="310"/>
      <c r="C37" s="1368"/>
      <c r="D37" s="350">
        <f>(P52)*(G14)</f>
        <v>900</v>
      </c>
      <c r="E37" s="316" t="s">
        <v>396</v>
      </c>
      <c r="F37" s="818" t="s">
        <v>390</v>
      </c>
      <c r="H37" s="6"/>
      <c r="I37" s="2"/>
      <c r="J37" s="1361" t="s">
        <v>493</v>
      </c>
      <c r="K37" s="1265"/>
      <c r="L37" s="2"/>
      <c r="M37" s="2"/>
      <c r="N37" s="2"/>
      <c r="O37" s="2"/>
      <c r="P37" s="2"/>
      <c r="Q37" s="2"/>
      <c r="R37" s="2"/>
      <c r="S37" s="2"/>
      <c r="T37" s="2"/>
      <c r="U37" s="6"/>
      <c r="V37" s="2"/>
      <c r="W37" s="2"/>
      <c r="X37" s="2"/>
      <c r="Y37" s="2"/>
      <c r="AF37" s="571" t="s">
        <v>118</v>
      </c>
      <c r="AG37" s="571" t="s">
        <v>118</v>
      </c>
    </row>
    <row r="38" spans="2:33" ht="14.25" thickBot="1">
      <c r="B38" s="367"/>
      <c r="H38" s="15"/>
      <c r="I38" s="2"/>
      <c r="J38" s="42"/>
      <c r="K38" s="883" t="s">
        <v>218</v>
      </c>
      <c r="L38" s="1232" t="str">
        <f>C18</f>
        <v>一般地(50cm)</v>
      </c>
      <c r="M38" s="1232"/>
      <c r="N38" s="400" t="s">
        <v>213</v>
      </c>
      <c r="O38" s="883">
        <f>IF(L38="一般地(50cm)",20,30)</f>
        <v>20</v>
      </c>
      <c r="P38" s="400" t="s">
        <v>374</v>
      </c>
      <c r="Q38" s="1261" t="s">
        <v>215</v>
      </c>
      <c r="R38" s="1258"/>
      <c r="S38" s="19">
        <f>INDEX(data!I23:'data'!I26,MATCH(L38,data!H23:'data'!H26,0))*O38</f>
        <v>1000</v>
      </c>
      <c r="T38" s="19" t="s">
        <v>127</v>
      </c>
      <c r="U38" s="6"/>
      <c r="V38" s="2"/>
      <c r="W38" s="2"/>
      <c r="X38" s="2"/>
      <c r="Y38" s="2"/>
    </row>
    <row r="39" spans="2:33">
      <c r="B39" s="902"/>
      <c r="C39" s="903" t="s">
        <v>101</v>
      </c>
      <c r="D39" s="904" t="s">
        <v>100</v>
      </c>
      <c r="E39" s="904" t="s">
        <v>102</v>
      </c>
      <c r="F39" s="905"/>
      <c r="G39" s="180"/>
      <c r="H39" s="193"/>
      <c r="I39" s="42"/>
      <c r="J39" s="42"/>
      <c r="K39" s="883" t="s">
        <v>219</v>
      </c>
      <c r="L39" s="891" t="str">
        <f>C19</f>
        <v>等　級　１</v>
      </c>
      <c r="M39" s="399"/>
      <c r="N39" s="399"/>
      <c r="O39" s="399"/>
      <c r="P39" s="399"/>
      <c r="Q39" s="399"/>
      <c r="R39" s="399"/>
      <c r="S39" s="2"/>
      <c r="T39" s="2"/>
      <c r="U39" s="6"/>
      <c r="V39" s="2"/>
      <c r="W39" s="2"/>
      <c r="X39" s="2"/>
      <c r="Y39" s="2"/>
    </row>
    <row r="40" spans="2:33">
      <c r="B40" s="725" t="s">
        <v>15</v>
      </c>
      <c r="C40" s="843"/>
      <c r="D40" s="841">
        <f>(C7)*(C46)*(C13)</f>
        <v>21600</v>
      </c>
      <c r="E40" s="844"/>
      <c r="F40" s="794" t="s">
        <v>11</v>
      </c>
      <c r="G40" s="77"/>
      <c r="H40" s="34"/>
      <c r="I40" s="42"/>
      <c r="J40" s="42"/>
      <c r="K40" s="883" t="s">
        <v>201</v>
      </c>
      <c r="L40" s="891" t="s">
        <v>212</v>
      </c>
      <c r="M40" s="1257" t="s">
        <v>214</v>
      </c>
      <c r="N40" s="1258"/>
      <c r="O40" s="222">
        <f>IF(H21="あり",1,IF(E21&gt;60,0,COS(1.5*PI()/180*(E21))^0.5))</f>
        <v>0.91732810180472024</v>
      </c>
      <c r="P40" s="399"/>
      <c r="Q40" s="399"/>
      <c r="R40" s="399"/>
      <c r="S40" s="2"/>
      <c r="T40" s="2"/>
      <c r="U40" s="6"/>
      <c r="V40" s="2"/>
      <c r="W40" s="2"/>
      <c r="X40" s="2"/>
      <c r="Y40" s="2"/>
    </row>
    <row r="41" spans="2:33">
      <c r="B41" s="725" t="s">
        <v>14</v>
      </c>
      <c r="C41" s="842">
        <f>(D13)*((C7)*(C46)^2)/6</f>
        <v>648000</v>
      </c>
      <c r="D41" s="844"/>
      <c r="E41" s="844"/>
      <c r="F41" s="794" t="s">
        <v>38</v>
      </c>
      <c r="G41" s="77"/>
      <c r="H41" s="34"/>
      <c r="I41" s="42"/>
      <c r="J41" s="42"/>
      <c r="K41" s="764" t="s">
        <v>217</v>
      </c>
      <c r="L41" s="399"/>
      <c r="M41" s="399"/>
      <c r="N41" s="399"/>
      <c r="O41" s="402">
        <f>(100+C21^2)^0.5/10</f>
        <v>1.0770329614269007</v>
      </c>
      <c r="P41" s="399"/>
      <c r="Q41" s="399"/>
      <c r="R41" s="399"/>
      <c r="S41" s="2"/>
      <c r="T41" s="2"/>
      <c r="U41" s="6"/>
      <c r="V41" s="2"/>
      <c r="W41" s="2"/>
      <c r="X41" s="2"/>
      <c r="Y41" s="2"/>
    </row>
    <row r="42" spans="2:33">
      <c r="B42" s="725" t="s">
        <v>10</v>
      </c>
      <c r="C42" s="843"/>
      <c r="D42" s="844"/>
      <c r="E42" s="842">
        <f>(E13)*((C7)*(E46)^3)/12</f>
        <v>58320000</v>
      </c>
      <c r="F42" s="794" t="s">
        <v>39</v>
      </c>
      <c r="G42" s="77"/>
      <c r="H42" s="34"/>
      <c r="I42" s="42"/>
      <c r="J42" s="42"/>
      <c r="K42" s="883" t="s">
        <v>202</v>
      </c>
      <c r="L42" s="1261" t="s">
        <v>340</v>
      </c>
      <c r="M42" s="1258"/>
      <c r="N42" s="1258"/>
      <c r="O42" s="1258"/>
      <c r="P42" s="19">
        <f>ROUNDUP(S38*O40*IF(L38="一般地(50cm)",1,IF(L39="等　級　２",1.2,1)),0)</f>
        <v>918</v>
      </c>
      <c r="Q42" s="19" t="s">
        <v>127</v>
      </c>
      <c r="R42" s="399"/>
      <c r="S42" s="2"/>
      <c r="T42" s="2"/>
      <c r="U42" s="6"/>
      <c r="V42" s="2"/>
      <c r="W42" s="2"/>
      <c r="X42" s="2"/>
      <c r="Y42" s="2"/>
    </row>
    <row r="43" spans="2:33" ht="14.25" thickBot="1">
      <c r="B43" s="230"/>
      <c r="C43" s="182"/>
      <c r="D43" s="41"/>
      <c r="E43" s="41"/>
      <c r="F43" s="77"/>
      <c r="G43" s="77"/>
      <c r="H43" s="192"/>
      <c r="I43" s="42"/>
      <c r="J43" s="42"/>
      <c r="K43" s="883" t="s">
        <v>203</v>
      </c>
      <c r="L43" s="1261" t="s">
        <v>341</v>
      </c>
      <c r="M43" s="1258"/>
      <c r="N43" s="1258"/>
      <c r="O43" s="1258"/>
      <c r="P43" s="19">
        <f>ROUNDUP(0.7*S38*O40*IF(L38="一般地(50cm)",1,IF(L39="等　級　２",1.2,1)),0)</f>
        <v>643</v>
      </c>
      <c r="Q43" s="19" t="s">
        <v>127</v>
      </c>
      <c r="R43" s="399"/>
      <c r="S43" s="2"/>
      <c r="T43" s="2"/>
      <c r="U43" s="6"/>
      <c r="V43" s="2"/>
      <c r="W43" s="2"/>
      <c r="X43" s="2"/>
      <c r="Y43" s="2"/>
    </row>
    <row r="44" spans="2:33" ht="15" thickTop="1" thickBot="1">
      <c r="B44" s="1289" t="s">
        <v>73</v>
      </c>
      <c r="C44" s="1309"/>
      <c r="D44" s="1309"/>
      <c r="E44" s="1309"/>
      <c r="F44" s="1284" t="s">
        <v>242</v>
      </c>
      <c r="G44" s="1306"/>
      <c r="H44" s="634"/>
      <c r="I44" s="2"/>
      <c r="J44" s="42"/>
      <c r="K44" s="2"/>
      <c r="L44" s="2"/>
      <c r="M44" s="2"/>
      <c r="N44" s="2"/>
      <c r="O44" s="2"/>
      <c r="P44" s="2"/>
      <c r="Q44" s="2"/>
      <c r="R44" s="2"/>
      <c r="S44" s="2"/>
      <c r="T44" s="2"/>
      <c r="U44" s="6"/>
      <c r="V44" s="2"/>
      <c r="W44" s="2"/>
      <c r="X44" s="2"/>
      <c r="Y44" s="2"/>
    </row>
    <row r="45" spans="2:33" ht="14.25" thickBot="1">
      <c r="B45" s="1293" t="s">
        <v>44</v>
      </c>
      <c r="C45" s="1307"/>
      <c r="D45" s="1282" t="s">
        <v>43</v>
      </c>
      <c r="E45" s="1307"/>
      <c r="F45" s="1307"/>
      <c r="G45" s="1308"/>
      <c r="H45" s="345"/>
      <c r="I45" s="2"/>
      <c r="J45" s="42"/>
      <c r="K45" s="1316" t="s">
        <v>399</v>
      </c>
      <c r="L45" s="1317"/>
      <c r="M45" s="912" t="s">
        <v>124</v>
      </c>
      <c r="N45" s="946" t="s">
        <v>400</v>
      </c>
      <c r="O45" s="917" t="s">
        <v>206</v>
      </c>
      <c r="P45" s="914"/>
      <c r="Q45" s="920"/>
      <c r="R45" s="2"/>
      <c r="S45" s="2"/>
      <c r="T45" s="2"/>
      <c r="U45" s="6"/>
      <c r="V45" s="2"/>
      <c r="W45" s="2"/>
      <c r="X45" s="2"/>
      <c r="Y45" s="2"/>
    </row>
    <row r="46" spans="2:33" ht="14.25" thickBot="1">
      <c r="B46" s="849">
        <f>C7</f>
        <v>120</v>
      </c>
      <c r="C46" s="850">
        <f>D7</f>
        <v>180</v>
      </c>
      <c r="D46" s="847">
        <f>C7</f>
        <v>120</v>
      </c>
      <c r="E46" s="848">
        <f>E7</f>
        <v>180</v>
      </c>
      <c r="F46" s="1287">
        <f>IF(C18="一般地(50cm)",D144,D154)</f>
        <v>2648.42652</v>
      </c>
      <c r="G46" s="1296"/>
      <c r="H46" s="686"/>
      <c r="I46" s="2"/>
      <c r="J46" s="42"/>
      <c r="K46" s="1376" t="s">
        <v>196</v>
      </c>
      <c r="L46" s="1231"/>
      <c r="M46" s="769">
        <f>N13</f>
        <v>300</v>
      </c>
      <c r="N46" s="771">
        <v>0</v>
      </c>
      <c r="O46" s="771">
        <v>0</v>
      </c>
      <c r="P46" s="773">
        <f>(M46)+(O46)</f>
        <v>300</v>
      </c>
      <c r="Q46" s="948"/>
      <c r="R46" s="2"/>
      <c r="S46" s="2"/>
      <c r="T46" s="2"/>
      <c r="U46" s="6"/>
      <c r="V46" s="2"/>
      <c r="W46" s="2"/>
      <c r="X46" s="2"/>
      <c r="Y46" s="2"/>
    </row>
    <row r="47" spans="2:33" ht="15" thickTop="1" thickBot="1">
      <c r="I47" s="2"/>
      <c r="J47" s="42"/>
      <c r="K47" s="1376" t="s">
        <v>197</v>
      </c>
      <c r="L47" s="1231"/>
      <c r="M47" s="769">
        <f>M46</f>
        <v>300</v>
      </c>
      <c r="N47" s="771">
        <v>0</v>
      </c>
      <c r="O47" s="771">
        <f>P43</f>
        <v>643</v>
      </c>
      <c r="P47" s="773">
        <f>(M47)+(O47)</f>
        <v>943</v>
      </c>
      <c r="Q47" s="948"/>
      <c r="R47" s="2"/>
      <c r="S47" s="2"/>
      <c r="T47" s="2"/>
      <c r="U47" s="6"/>
      <c r="V47" s="2"/>
      <c r="W47" s="2"/>
      <c r="X47" s="2"/>
      <c r="Y47" s="2"/>
    </row>
    <row r="48" spans="2:33" ht="14.25" thickBot="1">
      <c r="B48" s="617" t="s">
        <v>445</v>
      </c>
      <c r="C48" s="620"/>
      <c r="D48" s="804" t="s">
        <v>267</v>
      </c>
      <c r="E48" s="804" t="s">
        <v>228</v>
      </c>
      <c r="F48" s="805" t="s">
        <v>229</v>
      </c>
      <c r="I48" s="2"/>
      <c r="J48" s="42"/>
      <c r="K48" s="1376" t="s">
        <v>198</v>
      </c>
      <c r="L48" s="1231"/>
      <c r="M48" s="769">
        <f>M46</f>
        <v>300</v>
      </c>
      <c r="N48" s="771">
        <v>0</v>
      </c>
      <c r="O48" s="771">
        <f>P42</f>
        <v>918</v>
      </c>
      <c r="P48" s="773">
        <f>(M48)+(O48)</f>
        <v>1218</v>
      </c>
      <c r="Q48" s="948"/>
      <c r="R48" s="2"/>
      <c r="S48" s="2"/>
      <c r="T48" s="2"/>
      <c r="U48" s="6"/>
      <c r="V48" s="2"/>
      <c r="W48" s="2"/>
      <c r="X48" s="43"/>
      <c r="Y48" s="2"/>
    </row>
    <row r="49" spans="2:24">
      <c r="C49" s="621" t="s">
        <v>231</v>
      </c>
      <c r="D49" s="623" t="str">
        <f>(I90)</f>
        <v>◯</v>
      </c>
      <c r="E49" s="623" t="str">
        <f>(I110)</f>
        <v>◯</v>
      </c>
      <c r="F49" s="624" t="str">
        <f>(I131)</f>
        <v>◯</v>
      </c>
      <c r="G49" s="1175" t="s">
        <v>44</v>
      </c>
      <c r="H49" s="1176"/>
      <c r="I49" s="2"/>
      <c r="J49" s="42"/>
      <c r="K49" s="1371" t="s">
        <v>257</v>
      </c>
      <c r="L49" s="1231"/>
      <c r="M49" s="769">
        <f>N20</f>
        <v>200</v>
      </c>
      <c r="N49" s="771">
        <v>0</v>
      </c>
      <c r="O49" s="771">
        <v>0</v>
      </c>
      <c r="P49" s="773">
        <f>(M49)</f>
        <v>200</v>
      </c>
      <c r="Q49" s="948"/>
      <c r="R49" s="2"/>
      <c r="S49" s="2"/>
      <c r="T49" s="2"/>
      <c r="U49" s="6"/>
    </row>
    <row r="50" spans="2:24" ht="14.25" thickBot="1">
      <c r="B50" s="7"/>
      <c r="C50" s="621" t="s">
        <v>321</v>
      </c>
      <c r="D50" s="623" t="str">
        <f>(I149)</f>
        <v>◯</v>
      </c>
      <c r="E50" s="623" t="str">
        <f>(I159)</f>
        <v>◯</v>
      </c>
      <c r="F50" s="624" t="str">
        <f>(I169)</f>
        <v>◯</v>
      </c>
      <c r="G50" s="1275"/>
      <c r="H50" s="1196"/>
      <c r="J50" s="42"/>
      <c r="K50" s="1371" t="s">
        <v>358</v>
      </c>
      <c r="L50" s="1273"/>
      <c r="M50" s="865">
        <f>T19</f>
        <v>700</v>
      </c>
      <c r="N50" s="771">
        <v>0</v>
      </c>
      <c r="O50" s="771">
        <v>0</v>
      </c>
      <c r="P50" s="773">
        <f>(M50)</f>
        <v>700</v>
      </c>
      <c r="Q50" s="948"/>
      <c r="R50" s="2"/>
      <c r="S50" s="2"/>
      <c r="T50" s="2"/>
      <c r="U50" s="6"/>
    </row>
    <row r="51" spans="2:24" ht="14.25" thickBot="1">
      <c r="B51" s="7"/>
      <c r="C51" s="622" t="s">
        <v>343</v>
      </c>
      <c r="D51" s="625" t="str">
        <f>(I194)</f>
        <v>◯</v>
      </c>
      <c r="E51" s="625" t="str">
        <f>(I205)</f>
        <v>◯</v>
      </c>
      <c r="F51" s="626" t="str">
        <f>(I217)</f>
        <v>◯</v>
      </c>
      <c r="G51" s="1179" t="s">
        <v>43</v>
      </c>
      <c r="H51" s="1240"/>
      <c r="I51" s="2"/>
      <c r="J51" s="42"/>
      <c r="K51" s="1322" t="s">
        <v>385</v>
      </c>
      <c r="L51" s="1229"/>
      <c r="M51" s="313">
        <f>T10</f>
        <v>300</v>
      </c>
      <c r="N51" s="918">
        <f>L33</f>
        <v>1800</v>
      </c>
      <c r="O51" s="771">
        <v>0</v>
      </c>
      <c r="P51" s="915">
        <f>(M51)+(N51)</f>
        <v>2100</v>
      </c>
      <c r="Q51" s="462"/>
      <c r="R51" s="2"/>
      <c r="S51" s="2"/>
      <c r="T51" s="2"/>
      <c r="U51" s="6"/>
    </row>
    <row r="52" spans="2:24">
      <c r="B52" s="7"/>
      <c r="C52" s="7"/>
      <c r="D52" s="2"/>
      <c r="E52" s="2"/>
      <c r="F52" s="2"/>
      <c r="G52" s="2"/>
      <c r="H52" s="2"/>
      <c r="I52" s="2"/>
      <c r="J52" s="42"/>
      <c r="K52" s="1347" t="s">
        <v>386</v>
      </c>
      <c r="L52" s="1229"/>
      <c r="M52" s="313">
        <f>T10</f>
        <v>300</v>
      </c>
      <c r="N52" s="918">
        <f>L34</f>
        <v>600</v>
      </c>
      <c r="O52" s="771">
        <v>0</v>
      </c>
      <c r="P52" s="915">
        <f>(M52)+(N52)</f>
        <v>900</v>
      </c>
      <c r="Q52" s="462"/>
      <c r="R52" s="2"/>
      <c r="S52" s="2"/>
      <c r="T52" s="2"/>
      <c r="U52" s="6"/>
    </row>
    <row r="53" spans="2:24" ht="14.25" thickBot="1">
      <c r="B53" s="7"/>
      <c r="C53" s="7"/>
      <c r="D53" s="568"/>
      <c r="I53" s="2"/>
      <c r="J53" s="42"/>
      <c r="K53" s="1348" t="s">
        <v>419</v>
      </c>
      <c r="L53" s="1349"/>
      <c r="M53" s="943">
        <f>N28</f>
        <v>500</v>
      </c>
      <c r="N53" s="945">
        <v>0</v>
      </c>
      <c r="O53" s="945">
        <v>0</v>
      </c>
      <c r="P53" s="944">
        <f>(M53)</f>
        <v>500</v>
      </c>
      <c r="Q53" s="947" t="s">
        <v>121</v>
      </c>
      <c r="R53" s="2"/>
      <c r="S53" s="2"/>
      <c r="T53" s="2"/>
      <c r="U53" s="6"/>
    </row>
    <row r="54" spans="2:24" ht="14.25" thickBot="1">
      <c r="B54" s="7"/>
      <c r="C54" s="7"/>
      <c r="D54" s="2"/>
      <c r="E54" s="2"/>
      <c r="F54" s="2"/>
      <c r="G54" s="2"/>
      <c r="H54" s="2"/>
      <c r="I54" s="2"/>
      <c r="J54" s="765"/>
      <c r="K54" s="14"/>
      <c r="L54" s="14"/>
      <c r="M54" s="14"/>
      <c r="N54" s="14"/>
      <c r="O54" s="14"/>
      <c r="P54" s="14"/>
      <c r="Q54" s="14"/>
      <c r="R54" s="14"/>
      <c r="S54" s="14"/>
      <c r="T54" s="14"/>
      <c r="U54" s="15"/>
    </row>
    <row r="55" spans="2:24" ht="14.25" thickBot="1">
      <c r="B55" s="7"/>
      <c r="C55" s="7"/>
      <c r="D55" s="2"/>
      <c r="E55" s="2"/>
      <c r="F55" s="2"/>
      <c r="G55" s="2"/>
      <c r="H55" s="2"/>
      <c r="I55" s="2"/>
    </row>
    <row r="56" spans="2:24">
      <c r="B56" s="297" t="s">
        <v>231</v>
      </c>
      <c r="C56" s="206"/>
      <c r="D56" s="241"/>
      <c r="E56" s="241"/>
      <c r="F56" s="241"/>
      <c r="G56" s="241"/>
      <c r="H56" s="241"/>
      <c r="I56" s="242"/>
      <c r="X56" s="2"/>
    </row>
    <row r="57" spans="2:24">
      <c r="B57" s="466" t="s">
        <v>221</v>
      </c>
      <c r="C57" s="529" t="s">
        <v>669</v>
      </c>
      <c r="D57" s="88">
        <f>E25</f>
        <v>84.671999999999997</v>
      </c>
      <c r="E57" s="118">
        <f>($F$9)</f>
        <v>1.82</v>
      </c>
      <c r="F57" s="19" t="s">
        <v>88</v>
      </c>
      <c r="G57" s="125">
        <f>((D57)*(E57)*(E57))/8</f>
        <v>35.058441600000002</v>
      </c>
      <c r="H57" s="19" t="s">
        <v>91</v>
      </c>
      <c r="I57" s="533"/>
      <c r="X57" s="2"/>
    </row>
    <row r="58" spans="2:24">
      <c r="B58" s="466" t="s">
        <v>431</v>
      </c>
      <c r="C58" s="247"/>
      <c r="D58" s="17" t="s">
        <v>18</v>
      </c>
      <c r="E58" s="565" t="s">
        <v>92</v>
      </c>
      <c r="F58" s="248"/>
      <c r="G58" s="248"/>
      <c r="H58" s="248"/>
      <c r="I58" s="246"/>
      <c r="J58" s="2"/>
      <c r="K58" s="2"/>
      <c r="X58" s="2"/>
    </row>
    <row r="59" spans="2:24">
      <c r="B59" s="243"/>
      <c r="C59" s="534"/>
      <c r="D59" s="88"/>
      <c r="E59" s="118"/>
      <c r="F59" s="19"/>
      <c r="G59" s="125"/>
      <c r="H59" s="19"/>
      <c r="I59" s="532"/>
      <c r="X59" s="2"/>
    </row>
    <row r="60" spans="2:24">
      <c r="B60" s="387" t="s">
        <v>221</v>
      </c>
      <c r="C60" s="529" t="s">
        <v>653</v>
      </c>
      <c r="D60" s="548">
        <f>E24</f>
        <v>1350</v>
      </c>
      <c r="E60" s="549">
        <f>E27</f>
        <v>0.91</v>
      </c>
      <c r="F60" s="550">
        <f>F9</f>
        <v>1.82</v>
      </c>
      <c r="G60" s="549">
        <f>((E27)/2+(F9)-(E27)-(0))</f>
        <v>1.3649999999999998</v>
      </c>
      <c r="H60" s="551">
        <f>((0)+(2*(E27)*((F9)-(E27)-(0))))+(E27)*(E27)</f>
        <v>2.4843000000000002</v>
      </c>
      <c r="I60" s="520"/>
      <c r="X60" s="2"/>
    </row>
    <row r="61" spans="2:24">
      <c r="B61" s="466" t="s">
        <v>425</v>
      </c>
      <c r="C61" s="530"/>
      <c r="D61" s="552" t="s">
        <v>71</v>
      </c>
      <c r="E61" s="339"/>
      <c r="F61" s="552" t="s">
        <v>427</v>
      </c>
      <c r="G61" s="339"/>
      <c r="H61" s="570"/>
      <c r="I61" s="6"/>
    </row>
    <row r="62" spans="2:24">
      <c r="B62" s="310"/>
      <c r="C62" s="530"/>
      <c r="D62" s="553">
        <f>F9</f>
        <v>1.82</v>
      </c>
      <c r="E62" s="554">
        <v>4</v>
      </c>
      <c r="F62" s="552" t="s">
        <v>99</v>
      </c>
      <c r="G62" s="602">
        <f>(D60)*(E60)*(G60)/(F60)*((H60)/(D62)/4)</f>
        <v>314.41921874999991</v>
      </c>
      <c r="H62" s="339"/>
      <c r="I62" s="6"/>
    </row>
    <row r="63" spans="2:24">
      <c r="B63" s="310"/>
      <c r="C63" s="530"/>
      <c r="D63" s="552" t="s">
        <v>427</v>
      </c>
      <c r="E63" s="339"/>
      <c r="F63" s="339"/>
      <c r="G63" s="339"/>
      <c r="H63" s="339"/>
      <c r="I63" s="6"/>
    </row>
    <row r="64" spans="2:24">
      <c r="B64" s="310"/>
      <c r="C64" s="529" t="s">
        <v>653</v>
      </c>
      <c r="D64" s="555">
        <f>E24</f>
        <v>1350</v>
      </c>
      <c r="E64" s="556">
        <f>E28</f>
        <v>0</v>
      </c>
      <c r="F64" s="553">
        <f>F9</f>
        <v>1.82</v>
      </c>
      <c r="G64" s="556">
        <f>((E28)/2+(F9)-(E28)-(0))</f>
        <v>1.82</v>
      </c>
      <c r="H64" s="557">
        <f>((0)+(2*(E28)*((F9)-(E28)-(0))))+(E28)*(E28)</f>
        <v>0</v>
      </c>
      <c r="I64" s="6"/>
    </row>
    <row r="65" spans="2:10">
      <c r="B65" s="310"/>
      <c r="C65" s="530"/>
      <c r="D65" s="552" t="s">
        <v>71</v>
      </c>
      <c r="E65" s="339"/>
      <c r="F65" s="552" t="s">
        <v>427</v>
      </c>
      <c r="G65" s="339"/>
      <c r="H65" s="570"/>
      <c r="I65" s="6"/>
    </row>
    <row r="66" spans="2:10">
      <c r="B66" s="310"/>
      <c r="C66" s="530"/>
      <c r="D66" s="553">
        <f>F9</f>
        <v>1.82</v>
      </c>
      <c r="E66" s="554">
        <v>4</v>
      </c>
      <c r="F66" s="552" t="s">
        <v>99</v>
      </c>
      <c r="G66" s="602">
        <f>(D64)*(E64)*(G64)/(F64)*((H64)/(D66)/4)</f>
        <v>0</v>
      </c>
      <c r="H66" s="339"/>
      <c r="I66" s="6"/>
      <c r="J66" s="483"/>
    </row>
    <row r="67" spans="2:10">
      <c r="B67" s="310"/>
      <c r="D67" s="25" t="s">
        <v>427</v>
      </c>
      <c r="I67" s="6"/>
    </row>
    <row r="68" spans="2:10">
      <c r="B68" s="536"/>
      <c r="C68" s="537"/>
      <c r="D68" s="538"/>
      <c r="E68" s="538"/>
      <c r="F68" s="538"/>
      <c r="G68" s="538"/>
      <c r="H68" s="538"/>
      <c r="I68" s="539"/>
    </row>
    <row r="69" spans="2:10">
      <c r="B69" s="524" t="s">
        <v>143</v>
      </c>
      <c r="C69" s="522"/>
      <c r="D69" s="522"/>
      <c r="E69" s="522"/>
      <c r="F69" s="522"/>
      <c r="G69" s="522"/>
      <c r="H69" s="522"/>
      <c r="I69" s="523"/>
    </row>
    <row r="70" spans="2:10">
      <c r="B70" s="615" t="s">
        <v>144</v>
      </c>
      <c r="D70" s="92"/>
      <c r="E70" s="152" t="s">
        <v>145</v>
      </c>
      <c r="F70" s="19" t="s">
        <v>152</v>
      </c>
      <c r="G70" s="19"/>
      <c r="H70" s="19"/>
      <c r="I70" s="535"/>
    </row>
    <row r="71" spans="2:10">
      <c r="B71" s="469"/>
      <c r="C71" s="529" t="s">
        <v>670</v>
      </c>
      <c r="D71" s="102" t="s">
        <v>146</v>
      </c>
      <c r="E71" s="45">
        <f>E27</f>
        <v>0.91</v>
      </c>
      <c r="F71" s="19" t="s">
        <v>150</v>
      </c>
      <c r="G71" s="19"/>
      <c r="H71" s="159">
        <f>(D34)*(E27)*(F9-E71)/(F9)</f>
        <v>546</v>
      </c>
      <c r="I71" s="89" t="s">
        <v>91</v>
      </c>
    </row>
    <row r="72" spans="2:10">
      <c r="B72" s="469"/>
      <c r="C72" s="117"/>
      <c r="D72" s="102"/>
      <c r="E72" s="45"/>
      <c r="F72" s="19"/>
      <c r="G72" s="19"/>
      <c r="H72" s="159"/>
      <c r="I72" s="89"/>
    </row>
    <row r="73" spans="2:10">
      <c r="B73" s="469"/>
      <c r="C73" s="529" t="s">
        <v>671</v>
      </c>
      <c r="D73" s="102" t="s">
        <v>146</v>
      </c>
      <c r="E73" s="45">
        <f>E27</f>
        <v>0.91</v>
      </c>
      <c r="F73" s="19" t="s">
        <v>150</v>
      </c>
      <c r="G73" s="19"/>
      <c r="H73" s="159">
        <f>(D36)*(E27)*(F9-E73)/(F9)</f>
        <v>955.5</v>
      </c>
      <c r="I73" s="89" t="s">
        <v>91</v>
      </c>
    </row>
    <row r="74" spans="2:10">
      <c r="B74" s="469"/>
      <c r="C74" s="117"/>
      <c r="D74" s="102"/>
      <c r="E74" s="45"/>
      <c r="F74" s="19"/>
      <c r="G74" s="19"/>
      <c r="H74" s="159"/>
      <c r="I74" s="89"/>
    </row>
    <row r="75" spans="2:10">
      <c r="B75" s="68" t="s">
        <v>147</v>
      </c>
      <c r="D75" s="92"/>
      <c r="E75" s="152" t="s">
        <v>145</v>
      </c>
      <c r="F75" s="19" t="s">
        <v>153</v>
      </c>
      <c r="G75" s="19"/>
      <c r="H75" s="19"/>
      <c r="I75" s="89"/>
    </row>
    <row r="76" spans="2:10">
      <c r="B76" s="469"/>
      <c r="C76" s="529" t="s">
        <v>672</v>
      </c>
      <c r="D76" s="102" t="s">
        <v>148</v>
      </c>
      <c r="E76" s="45">
        <f>E28</f>
        <v>0</v>
      </c>
      <c r="F76" s="19" t="s">
        <v>151</v>
      </c>
      <c r="G76" s="19"/>
      <c r="H76" s="159">
        <f>(D34)*(E28)*(F9-E28)/(F9)</f>
        <v>0</v>
      </c>
      <c r="I76" s="89" t="s">
        <v>91</v>
      </c>
    </row>
    <row r="77" spans="2:10">
      <c r="B77" s="469"/>
      <c r="C77" s="117"/>
      <c r="D77" s="102"/>
      <c r="E77" s="45"/>
      <c r="F77" s="19"/>
      <c r="G77" s="19"/>
      <c r="H77" s="159"/>
      <c r="I77" s="89"/>
    </row>
    <row r="78" spans="2:10">
      <c r="B78" s="469"/>
      <c r="C78" s="529" t="s">
        <v>673</v>
      </c>
      <c r="D78" s="102" t="s">
        <v>148</v>
      </c>
      <c r="E78" s="45">
        <f>E31</f>
        <v>943</v>
      </c>
      <c r="F78" s="19" t="s">
        <v>151</v>
      </c>
      <c r="G78" s="19"/>
      <c r="H78" s="159">
        <f>(D36)*(E28)*(F9-E28)/(F9)</f>
        <v>0</v>
      </c>
      <c r="I78" s="19" t="s">
        <v>91</v>
      </c>
      <c r="J78" s="483"/>
    </row>
    <row r="79" spans="2:10">
      <c r="B79" s="469"/>
      <c r="C79" s="117"/>
      <c r="D79" s="102"/>
      <c r="E79" s="45"/>
      <c r="F79" s="19"/>
      <c r="G79" s="19"/>
      <c r="H79" s="159"/>
      <c r="I79" s="19"/>
      <c r="J79" s="483"/>
    </row>
    <row r="80" spans="2:10">
      <c r="B80" s="68" t="s">
        <v>149</v>
      </c>
      <c r="D80" s="32"/>
      <c r="E80" s="33"/>
      <c r="F80" s="248"/>
      <c r="G80" s="248"/>
      <c r="H80" s="248"/>
      <c r="I80" s="248"/>
      <c r="J80" s="483"/>
    </row>
    <row r="81" spans="2:10">
      <c r="B81" s="243"/>
      <c r="C81" s="574" t="s">
        <v>674</v>
      </c>
      <c r="D81" s="1006" t="s">
        <v>675</v>
      </c>
      <c r="E81" s="154">
        <f>IF(E71&gt;=E76,(F9-E71),E71)</f>
        <v>0.91</v>
      </c>
      <c r="F81" s="19">
        <f>IF(E71&gt;=E76,F9-E76,E76)</f>
        <v>1.82</v>
      </c>
      <c r="G81" s="155" t="s">
        <v>154</v>
      </c>
      <c r="H81" s="19">
        <f>((H71)+(H73))+((H76)+(H78))*(E81)/(F81)</f>
        <v>1501.5</v>
      </c>
      <c r="I81" s="19" t="s">
        <v>91</v>
      </c>
      <c r="J81" s="483"/>
    </row>
    <row r="82" spans="2:10">
      <c r="B82" s="68" t="s">
        <v>155</v>
      </c>
      <c r="D82" s="40"/>
      <c r="E82" s="152"/>
      <c r="F82" s="19"/>
      <c r="G82" s="19"/>
      <c r="H82" s="19"/>
      <c r="I82" s="19"/>
      <c r="J82" s="483"/>
    </row>
    <row r="83" spans="2:10">
      <c r="B83" s="470"/>
      <c r="C83" s="574" t="s">
        <v>676</v>
      </c>
      <c r="D83" s="574" t="s">
        <v>677</v>
      </c>
      <c r="E83" s="154">
        <f>IF(((H76)+(H78))=0,0,F9-(F81))</f>
        <v>0</v>
      </c>
      <c r="F83" s="159">
        <f>F9-E83</f>
        <v>1.82</v>
      </c>
      <c r="G83" s="155" t="s">
        <v>154</v>
      </c>
      <c r="H83" s="19">
        <f>IF(E76=0,0,((H76)+(H71)*(E83)/(F83)))</f>
        <v>0</v>
      </c>
      <c r="I83" s="19" t="s">
        <v>91</v>
      </c>
      <c r="J83" s="483"/>
    </row>
    <row r="84" spans="2:10">
      <c r="B84" s="310"/>
      <c r="C84" s="582" t="s">
        <v>157</v>
      </c>
      <c r="D84" s="158">
        <f>(G57)+(G62)+(G66)+(H84)</f>
        <v>1850.97766035</v>
      </c>
      <c r="E84" s="51" t="s">
        <v>91</v>
      </c>
      <c r="F84" s="472" t="s">
        <v>267</v>
      </c>
      <c r="G84" s="248"/>
      <c r="H84" s="1020">
        <f>MAX(H81,H83)</f>
        <v>1501.5</v>
      </c>
      <c r="I84" s="248"/>
      <c r="J84" s="521"/>
    </row>
    <row r="85" spans="2:10">
      <c r="B85" s="310"/>
      <c r="C85" s="582"/>
      <c r="D85" s="158"/>
      <c r="E85" s="51"/>
      <c r="F85" s="472"/>
      <c r="G85" s="248"/>
      <c r="H85" s="159"/>
      <c r="I85" s="248"/>
      <c r="J85" s="521"/>
    </row>
    <row r="86" spans="2:10">
      <c r="B86" s="243" t="s">
        <v>9</v>
      </c>
      <c r="D86" s="586"/>
      <c r="E86" s="248"/>
      <c r="F86" s="248"/>
      <c r="G86" s="248"/>
      <c r="H86" s="248"/>
      <c r="I86" s="248"/>
      <c r="J86" s="42"/>
    </row>
    <row r="87" spans="2:10">
      <c r="B87" s="310"/>
      <c r="C87" s="60" t="s">
        <v>581</v>
      </c>
      <c r="D87" s="60" t="s">
        <v>590</v>
      </c>
      <c r="E87" s="19" t="s">
        <v>21</v>
      </c>
      <c r="F87" s="159">
        <f>((D84)*1000)/(C41)</f>
        <v>2.8564470067129628</v>
      </c>
      <c r="G87" s="19" t="s">
        <v>20</v>
      </c>
      <c r="H87" s="19"/>
      <c r="I87" s="19"/>
      <c r="J87" s="521"/>
    </row>
    <row r="88" spans="2:10">
      <c r="B88" s="243"/>
      <c r="C88" s="588"/>
      <c r="D88" s="19"/>
      <c r="E88" s="19"/>
      <c r="F88" s="19"/>
      <c r="G88" s="588"/>
      <c r="H88" s="19"/>
      <c r="I88" s="19"/>
      <c r="J88" s="483"/>
    </row>
    <row r="89" spans="2:10">
      <c r="B89" s="243"/>
      <c r="C89" s="1015" t="s">
        <v>94</v>
      </c>
      <c r="D89" s="19" t="s">
        <v>89</v>
      </c>
      <c r="E89" s="119">
        <f>C14</f>
        <v>1</v>
      </c>
      <c r="F89" s="159">
        <f>1.1*(data!K23)/3</f>
        <v>13.019453333333333</v>
      </c>
      <c r="G89" s="120">
        <f>C14</f>
        <v>1</v>
      </c>
      <c r="H89" s="280">
        <f>(F89)*(G89)</f>
        <v>13.019453333333333</v>
      </c>
      <c r="I89" s="19" t="s">
        <v>20</v>
      </c>
      <c r="J89" s="483"/>
    </row>
    <row r="90" spans="2:10" ht="14.25" thickBot="1">
      <c r="B90" s="261"/>
      <c r="C90" s="253"/>
      <c r="D90" s="254"/>
      <c r="E90" s="581" t="s">
        <v>371</v>
      </c>
      <c r="F90" s="254"/>
      <c r="G90" s="62" t="s">
        <v>17</v>
      </c>
      <c r="H90" s="175" t="s">
        <v>322</v>
      </c>
      <c r="I90" s="619" t="str">
        <f>IF(F87&lt;=H89,"◯","×")</f>
        <v>◯</v>
      </c>
      <c r="J90" s="483"/>
    </row>
    <row r="91" spans="2:10">
      <c r="B91" s="615" t="s">
        <v>144</v>
      </c>
      <c r="C91" s="614"/>
      <c r="D91" s="92"/>
      <c r="E91" s="152" t="s">
        <v>145</v>
      </c>
      <c r="F91" s="19" t="s">
        <v>152</v>
      </c>
      <c r="G91" s="19"/>
      <c r="H91" s="19"/>
      <c r="I91" s="535"/>
      <c r="J91" s="483"/>
    </row>
    <row r="92" spans="2:10">
      <c r="B92" s="469"/>
      <c r="C92" s="529" t="s">
        <v>670</v>
      </c>
      <c r="D92" s="102" t="s">
        <v>146</v>
      </c>
      <c r="E92" s="45">
        <f>E27</f>
        <v>0.91</v>
      </c>
      <c r="F92" s="19" t="s">
        <v>150</v>
      </c>
      <c r="G92" s="19"/>
      <c r="H92" s="159">
        <f>(E34)*(E27)*(F9-E92)/(F9)</f>
        <v>838.56500000000005</v>
      </c>
      <c r="I92" s="89" t="s">
        <v>91</v>
      </c>
      <c r="J92" s="483"/>
    </row>
    <row r="93" spans="2:10">
      <c r="B93" s="469"/>
      <c r="C93" s="117"/>
      <c r="D93" s="102"/>
      <c r="E93" s="45"/>
      <c r="F93" s="19"/>
      <c r="G93" s="19"/>
      <c r="H93" s="159"/>
      <c r="I93" s="89"/>
      <c r="J93" s="483"/>
    </row>
    <row r="94" spans="2:10">
      <c r="B94" s="469"/>
      <c r="C94" s="529" t="s">
        <v>671</v>
      </c>
      <c r="D94" s="102" t="s">
        <v>146</v>
      </c>
      <c r="E94" s="45">
        <f>E27</f>
        <v>0.91</v>
      </c>
      <c r="F94" s="19" t="s">
        <v>150</v>
      </c>
      <c r="G94" s="19"/>
      <c r="H94" s="159">
        <f>(D36)*(E94)*(F9-E94)/(F9)</f>
        <v>955.5</v>
      </c>
      <c r="I94" s="89" t="s">
        <v>91</v>
      </c>
      <c r="J94" s="483"/>
    </row>
    <row r="95" spans="2:10">
      <c r="B95" s="469"/>
      <c r="C95" s="117"/>
      <c r="D95" s="102"/>
      <c r="E95" s="45"/>
      <c r="F95" s="19"/>
      <c r="G95" s="19"/>
      <c r="H95" s="159"/>
      <c r="I95" s="89"/>
      <c r="J95" s="483"/>
    </row>
    <row r="96" spans="2:10">
      <c r="B96" s="68" t="s">
        <v>147</v>
      </c>
      <c r="C96" s="614"/>
      <c r="D96" s="92"/>
      <c r="E96" s="152" t="s">
        <v>145</v>
      </c>
      <c r="F96" s="19" t="s">
        <v>153</v>
      </c>
      <c r="G96" s="19"/>
      <c r="H96" s="19"/>
      <c r="I96" s="89"/>
      <c r="J96" s="483"/>
    </row>
    <row r="97" spans="2:10">
      <c r="B97" s="469"/>
      <c r="C97" s="529" t="s">
        <v>672</v>
      </c>
      <c r="D97" s="102" t="s">
        <v>148</v>
      </c>
      <c r="E97" s="45">
        <f>E28</f>
        <v>0</v>
      </c>
      <c r="F97" s="19" t="s">
        <v>151</v>
      </c>
      <c r="G97" s="19"/>
      <c r="H97" s="159">
        <f>(E34)*(E28)*(F9-E28)/(F9)</f>
        <v>0</v>
      </c>
      <c r="I97" s="89" t="s">
        <v>91</v>
      </c>
      <c r="J97" s="483"/>
    </row>
    <row r="98" spans="2:10">
      <c r="B98" s="469"/>
      <c r="C98" s="117"/>
      <c r="D98" s="102"/>
      <c r="E98" s="45"/>
      <c r="F98" s="19"/>
      <c r="G98" s="19"/>
      <c r="H98" s="159"/>
      <c r="I98" s="89"/>
      <c r="J98" s="483"/>
    </row>
    <row r="99" spans="2:10">
      <c r="B99" s="469"/>
      <c r="C99" s="529" t="s">
        <v>673</v>
      </c>
      <c r="D99" s="102" t="s">
        <v>148</v>
      </c>
      <c r="E99" s="45">
        <f>E28</f>
        <v>0</v>
      </c>
      <c r="F99" s="19" t="s">
        <v>151</v>
      </c>
      <c r="G99" s="19"/>
      <c r="H99" s="159">
        <f>(D36)*(E28)*(F9-E28)/(F9)</f>
        <v>0</v>
      </c>
      <c r="I99" s="19" t="s">
        <v>91</v>
      </c>
      <c r="J99" s="483"/>
    </row>
    <row r="100" spans="2:10">
      <c r="B100" s="469"/>
      <c r="C100" s="117"/>
      <c r="D100" s="102"/>
      <c r="E100" s="45"/>
      <c r="F100" s="19"/>
      <c r="G100" s="19"/>
      <c r="H100" s="159"/>
      <c r="I100" s="19"/>
      <c r="J100" s="483"/>
    </row>
    <row r="101" spans="2:10">
      <c r="B101" s="68" t="s">
        <v>149</v>
      </c>
      <c r="C101" s="614"/>
      <c r="D101" s="32"/>
      <c r="E101" s="33"/>
      <c r="F101" s="248"/>
      <c r="G101" s="248"/>
      <c r="H101" s="248"/>
      <c r="I101" s="248"/>
      <c r="J101" s="483"/>
    </row>
    <row r="102" spans="2:10">
      <c r="B102" s="243"/>
      <c r="C102" s="574" t="s">
        <v>674</v>
      </c>
      <c r="D102" s="117" t="s">
        <v>678</v>
      </c>
      <c r="E102" s="154">
        <f>IF(E92&gt;=E97,(F9-E92),E92)</f>
        <v>0.91</v>
      </c>
      <c r="F102" s="19">
        <f>IF(E92&gt;=E97,F9-E97,E97)</f>
        <v>1.82</v>
      </c>
      <c r="G102" s="155" t="s">
        <v>154</v>
      </c>
      <c r="H102" s="159">
        <f>((H92)+(H94))+((H97)+(H99))*(E102)/(F102)</f>
        <v>1794.0650000000001</v>
      </c>
      <c r="I102" s="19" t="s">
        <v>91</v>
      </c>
      <c r="J102" s="483"/>
    </row>
    <row r="103" spans="2:10">
      <c r="B103" s="68" t="s">
        <v>155</v>
      </c>
      <c r="C103" s="614"/>
      <c r="D103" s="40"/>
      <c r="E103" s="152"/>
      <c r="F103" s="19"/>
      <c r="G103" s="19"/>
      <c r="H103" s="19"/>
      <c r="I103" s="19"/>
      <c r="J103" s="483"/>
    </row>
    <row r="104" spans="2:10">
      <c r="B104" s="470"/>
      <c r="C104" s="574" t="s">
        <v>676</v>
      </c>
      <c r="D104" s="60" t="s">
        <v>679</v>
      </c>
      <c r="E104" s="154">
        <f>IF(((H97)+(H99))=0,0,F9-(F102))</f>
        <v>0</v>
      </c>
      <c r="F104" s="159">
        <f>F9-E104</f>
        <v>1.82</v>
      </c>
      <c r="G104" s="155" t="s">
        <v>154</v>
      </c>
      <c r="H104" s="19">
        <f>IF(E97=0,0,((H97)+(H92)*(E104)/(F104)))</f>
        <v>0</v>
      </c>
      <c r="I104" s="19" t="s">
        <v>91</v>
      </c>
      <c r="J104" s="483"/>
    </row>
    <row r="105" spans="2:10">
      <c r="B105" s="310"/>
      <c r="C105" s="613" t="s">
        <v>157</v>
      </c>
      <c r="D105" s="158">
        <f>(G57)+(G62)+(G66)+(H105)</f>
        <v>2143.54266035</v>
      </c>
      <c r="E105" s="51" t="s">
        <v>91</v>
      </c>
      <c r="F105" s="851" t="s">
        <v>228</v>
      </c>
      <c r="G105" s="248"/>
      <c r="H105" s="1020">
        <f>MAX(H102,H104)</f>
        <v>1794.0650000000001</v>
      </c>
      <c r="I105" s="248"/>
      <c r="J105" s="483"/>
    </row>
    <row r="106" spans="2:10">
      <c r="B106" s="466" t="s">
        <v>231</v>
      </c>
      <c r="D106" s="586"/>
      <c r="E106" s="248"/>
      <c r="F106" s="248"/>
      <c r="G106" s="248"/>
      <c r="H106" s="248"/>
      <c r="I106" s="248"/>
      <c r="J106" s="42"/>
    </row>
    <row r="107" spans="2:10">
      <c r="B107" s="310"/>
      <c r="C107" s="60" t="s">
        <v>582</v>
      </c>
      <c r="D107" s="60" t="s">
        <v>591</v>
      </c>
      <c r="E107" s="19" t="s">
        <v>21</v>
      </c>
      <c r="F107" s="159">
        <f>((D105)*1000)/(C41)</f>
        <v>3.3079362042438274</v>
      </c>
      <c r="G107" s="19" t="s">
        <v>20</v>
      </c>
      <c r="H107" s="19"/>
      <c r="I107" s="19"/>
      <c r="J107" s="521"/>
    </row>
    <row r="108" spans="2:10">
      <c r="B108" s="243"/>
      <c r="C108" s="588"/>
      <c r="D108" s="19"/>
      <c r="E108" s="19"/>
      <c r="F108" s="19"/>
      <c r="G108" s="588"/>
      <c r="H108" s="19"/>
      <c r="I108" s="19"/>
      <c r="J108" s="483"/>
    </row>
    <row r="109" spans="2:10">
      <c r="B109" s="243"/>
      <c r="C109" s="1009" t="s">
        <v>94</v>
      </c>
      <c r="D109" s="588" t="s">
        <v>288</v>
      </c>
      <c r="E109" s="119">
        <f>C14</f>
        <v>1</v>
      </c>
      <c r="F109" s="159">
        <f>1.3*1.1*(data!K23)/3</f>
        <v>16.925289333333335</v>
      </c>
      <c r="G109" s="120">
        <f>C14</f>
        <v>1</v>
      </c>
      <c r="H109" s="159">
        <f>(F109)*(G109)</f>
        <v>16.925289333333335</v>
      </c>
      <c r="I109" s="19" t="s">
        <v>20</v>
      </c>
      <c r="J109" s="483"/>
    </row>
    <row r="110" spans="2:10" ht="14.25" thickBot="1">
      <c r="B110" s="261"/>
      <c r="C110" s="253"/>
      <c r="D110" s="254"/>
      <c r="E110" s="581" t="s">
        <v>371</v>
      </c>
      <c r="F110" s="254"/>
      <c r="G110" s="375" t="s">
        <v>17</v>
      </c>
      <c r="H110" s="175" t="s">
        <v>322</v>
      </c>
      <c r="I110" s="619" t="str">
        <f>IF(F107&lt;=H109,"◯","×")</f>
        <v>◯</v>
      </c>
      <c r="J110" s="483"/>
    </row>
    <row r="111" spans="2:10">
      <c r="B111" s="615" t="s">
        <v>144</v>
      </c>
      <c r="C111" s="614"/>
      <c r="D111" s="92"/>
      <c r="E111" s="152" t="s">
        <v>145</v>
      </c>
      <c r="F111" s="19" t="s">
        <v>152</v>
      </c>
      <c r="G111" s="19"/>
      <c r="H111" s="19"/>
      <c r="I111" s="535"/>
      <c r="J111" s="483"/>
    </row>
    <row r="112" spans="2:10">
      <c r="B112" s="469"/>
      <c r="C112" s="529" t="s">
        <v>670</v>
      </c>
      <c r="D112" s="102" t="s">
        <v>146</v>
      </c>
      <c r="E112" s="45">
        <f>E27</f>
        <v>0.91</v>
      </c>
      <c r="F112" s="19" t="s">
        <v>150</v>
      </c>
      <c r="G112" s="19"/>
      <c r="H112" s="159">
        <f>(F34)*(E112)*(F9-E112)/(F9)</f>
        <v>963.69</v>
      </c>
      <c r="I112" s="89" t="s">
        <v>91</v>
      </c>
      <c r="J112" s="483"/>
    </row>
    <row r="113" spans="2:12">
      <c r="B113" s="469"/>
      <c r="C113" s="117"/>
      <c r="D113" s="102"/>
      <c r="E113" s="45"/>
      <c r="F113" s="19"/>
      <c r="G113" s="19"/>
      <c r="H113" s="159"/>
      <c r="I113" s="89"/>
      <c r="J113" s="42"/>
      <c r="K113" s="2"/>
      <c r="L113" s="2"/>
    </row>
    <row r="114" spans="2:12">
      <c r="B114" s="469"/>
      <c r="C114" s="529" t="s">
        <v>671</v>
      </c>
      <c r="D114" s="102" t="s">
        <v>146</v>
      </c>
      <c r="E114" s="45">
        <f>E27</f>
        <v>0.91</v>
      </c>
      <c r="F114" s="19" t="s">
        <v>150</v>
      </c>
      <c r="G114" s="19"/>
      <c r="H114" s="159">
        <f>(D36)*(E114)*(F9-E114)/(F9)</f>
        <v>955.5</v>
      </c>
      <c r="I114" s="89" t="s">
        <v>91</v>
      </c>
      <c r="J114" s="483"/>
      <c r="K114" s="2"/>
      <c r="L114" s="2"/>
    </row>
    <row r="115" spans="2:12">
      <c r="B115" s="469"/>
      <c r="C115" s="117"/>
      <c r="D115" s="102"/>
      <c r="E115" s="45"/>
      <c r="F115" s="19"/>
      <c r="G115" s="19"/>
      <c r="H115" s="159"/>
      <c r="I115" s="89"/>
      <c r="J115" s="483"/>
      <c r="K115" s="2"/>
      <c r="L115" s="2"/>
    </row>
    <row r="116" spans="2:12">
      <c r="B116" s="68" t="s">
        <v>147</v>
      </c>
      <c r="C116" s="614"/>
      <c r="D116" s="92"/>
      <c r="E116" s="152" t="s">
        <v>145</v>
      </c>
      <c r="F116" s="19" t="s">
        <v>153</v>
      </c>
      <c r="G116" s="19"/>
      <c r="H116" s="19"/>
      <c r="I116" s="89"/>
      <c r="J116" s="483"/>
      <c r="K116" s="2"/>
      <c r="L116" s="2"/>
    </row>
    <row r="117" spans="2:12">
      <c r="B117" s="469"/>
      <c r="C117" s="529" t="s">
        <v>672</v>
      </c>
      <c r="D117" s="102" t="s">
        <v>148</v>
      </c>
      <c r="E117" s="45">
        <f>E28</f>
        <v>0</v>
      </c>
      <c r="F117" s="19" t="s">
        <v>151</v>
      </c>
      <c r="G117" s="19"/>
      <c r="H117" s="159">
        <f>(F34)*(E117)*(F9-E117)/(F9)</f>
        <v>0</v>
      </c>
      <c r="I117" s="89" t="s">
        <v>91</v>
      </c>
      <c r="J117" s="483"/>
      <c r="K117" s="2"/>
      <c r="L117" s="2"/>
    </row>
    <row r="118" spans="2:12">
      <c r="B118" s="469"/>
      <c r="C118" s="117"/>
      <c r="D118" s="102"/>
      <c r="E118" s="45"/>
      <c r="F118" s="19"/>
      <c r="G118" s="19"/>
      <c r="H118" s="159"/>
      <c r="I118" s="89"/>
      <c r="J118" s="483"/>
      <c r="K118" s="2"/>
      <c r="L118" s="2"/>
    </row>
    <row r="119" spans="2:12">
      <c r="B119" s="469"/>
      <c r="C119" s="529" t="s">
        <v>673</v>
      </c>
      <c r="D119" s="102" t="s">
        <v>148</v>
      </c>
      <c r="E119" s="45">
        <f>E28</f>
        <v>0</v>
      </c>
      <c r="F119" s="19" t="s">
        <v>151</v>
      </c>
      <c r="G119" s="19"/>
      <c r="H119" s="159">
        <f>(D36)*(E119)*(F9-E119)/(F9)</f>
        <v>0</v>
      </c>
      <c r="I119" s="19" t="s">
        <v>91</v>
      </c>
      <c r="J119" s="483"/>
      <c r="K119" s="2"/>
      <c r="L119" s="2"/>
    </row>
    <row r="120" spans="2:12">
      <c r="B120" s="469"/>
      <c r="C120" s="117"/>
      <c r="D120" s="102"/>
      <c r="E120" s="45"/>
      <c r="F120" s="19"/>
      <c r="G120" s="19"/>
      <c r="H120" s="159"/>
      <c r="I120" s="19"/>
      <c r="J120" s="483"/>
      <c r="K120" s="2"/>
      <c r="L120" s="2"/>
    </row>
    <row r="121" spans="2:12">
      <c r="B121" s="68" t="s">
        <v>149</v>
      </c>
      <c r="C121" s="614"/>
      <c r="D121" s="32"/>
      <c r="E121" s="33"/>
      <c r="F121" s="248"/>
      <c r="G121" s="248"/>
      <c r="H121" s="248"/>
      <c r="I121" s="248"/>
      <c r="J121" s="483"/>
      <c r="K121" s="2"/>
      <c r="L121" s="2"/>
    </row>
    <row r="122" spans="2:12">
      <c r="B122" s="243"/>
      <c r="C122" s="574" t="s">
        <v>674</v>
      </c>
      <c r="D122" s="60" t="s">
        <v>680</v>
      </c>
      <c r="E122" s="154">
        <f>IF(E112&gt;=E117,(F9-E112),E112)</f>
        <v>0.91</v>
      </c>
      <c r="F122" s="19">
        <f>IF(E112&gt;=E117,F9-E117,E117)</f>
        <v>1.82</v>
      </c>
      <c r="G122" s="155" t="s">
        <v>154</v>
      </c>
      <c r="H122" s="159">
        <f>((H112)+(H114))+((H117)+(H119))*(E122)/(F122)</f>
        <v>1919.19</v>
      </c>
      <c r="I122" s="19" t="s">
        <v>91</v>
      </c>
      <c r="J122" s="483"/>
      <c r="K122" s="2"/>
      <c r="L122" s="2"/>
    </row>
    <row r="123" spans="2:12">
      <c r="B123" s="68" t="s">
        <v>155</v>
      </c>
      <c r="C123" s="614"/>
      <c r="D123" s="40"/>
      <c r="E123" s="152"/>
      <c r="F123" s="19"/>
      <c r="G123" s="19"/>
      <c r="H123" s="19"/>
      <c r="I123" s="19"/>
      <c r="J123" s="483"/>
      <c r="K123" s="2"/>
      <c r="L123" s="2"/>
    </row>
    <row r="124" spans="2:12">
      <c r="B124" s="470"/>
      <c r="C124" s="574" t="s">
        <v>676</v>
      </c>
      <c r="D124" s="60" t="s">
        <v>679</v>
      </c>
      <c r="E124" s="154">
        <f>IF(((H117)+(H119))=0,0,F9-(F122))</f>
        <v>0</v>
      </c>
      <c r="F124" s="159">
        <f>F9-E124</f>
        <v>1.82</v>
      </c>
      <c r="G124" s="155" t="s">
        <v>154</v>
      </c>
      <c r="H124" s="19">
        <f>IF(E117=0,0,((H117)+(H112)*(E124)/(F124)))</f>
        <v>0</v>
      </c>
      <c r="I124" s="19" t="s">
        <v>91</v>
      </c>
      <c r="J124" s="483"/>
      <c r="K124" s="2"/>
      <c r="L124" s="2"/>
    </row>
    <row r="125" spans="2:12">
      <c r="B125" s="310"/>
      <c r="C125" s="613" t="s">
        <v>157</v>
      </c>
      <c r="D125" s="158">
        <f>(G57)+(G62)+(G66)+(H125)</f>
        <v>2268.66766035</v>
      </c>
      <c r="E125" s="51" t="s">
        <v>91</v>
      </c>
      <c r="F125" s="851" t="s">
        <v>229</v>
      </c>
      <c r="G125" s="248"/>
      <c r="H125" s="1020">
        <f>MAX(H122,H124)</f>
        <v>1919.19</v>
      </c>
      <c r="I125" s="248"/>
      <c r="J125" s="483"/>
      <c r="K125" s="2"/>
      <c r="L125" s="2"/>
    </row>
    <row r="126" spans="2:12">
      <c r="B126" s="470"/>
      <c r="C126" s="60"/>
      <c r="D126" s="247"/>
      <c r="E126" s="61"/>
      <c r="F126" s="157"/>
      <c r="G126" s="155"/>
      <c r="H126" s="283"/>
      <c r="I126" s="19"/>
      <c r="J126" s="483"/>
      <c r="K126" s="2"/>
      <c r="L126" s="2"/>
    </row>
    <row r="127" spans="2:12">
      <c r="B127" s="470"/>
      <c r="C127" s="585" t="s">
        <v>231</v>
      </c>
      <c r="D127" s="586"/>
      <c r="E127" s="248"/>
      <c r="F127" s="248"/>
      <c r="G127" s="248"/>
      <c r="H127" s="248"/>
      <c r="I127" s="248"/>
      <c r="J127" s="42"/>
      <c r="K127" s="2"/>
      <c r="L127" s="2"/>
    </row>
    <row r="128" spans="2:12">
      <c r="B128" s="310"/>
      <c r="C128" s="60" t="s">
        <v>594</v>
      </c>
      <c r="D128" s="117" t="s">
        <v>596</v>
      </c>
      <c r="E128" s="19" t="s">
        <v>21</v>
      </c>
      <c r="F128" s="159">
        <f>((D125)*1000)/(C41)</f>
        <v>3.5010303400462965</v>
      </c>
      <c r="G128" s="19" t="s">
        <v>20</v>
      </c>
      <c r="H128" s="19"/>
      <c r="I128" s="248"/>
      <c r="J128" s="521"/>
      <c r="K128" s="2"/>
      <c r="L128" s="2"/>
    </row>
    <row r="129" spans="2:12">
      <c r="B129" s="243"/>
      <c r="C129" s="588"/>
      <c r="D129" s="19"/>
      <c r="E129" s="19"/>
      <c r="F129" s="19"/>
      <c r="G129" s="588"/>
      <c r="H129" s="19"/>
      <c r="I129" s="248"/>
      <c r="J129" s="483"/>
      <c r="K129" s="2"/>
      <c r="L129" s="2"/>
    </row>
    <row r="130" spans="2:12">
      <c r="B130" s="243"/>
      <c r="C130" s="1009" t="s">
        <v>94</v>
      </c>
      <c r="D130" s="588" t="s">
        <v>289</v>
      </c>
      <c r="E130" s="119">
        <f>C14</f>
        <v>1</v>
      </c>
      <c r="F130" s="159">
        <f>0.8*2*(data!K23)/3</f>
        <v>18.937386666666665</v>
      </c>
      <c r="G130" s="120">
        <f>C14</f>
        <v>1</v>
      </c>
      <c r="H130" s="159">
        <f>(F130)*(G130)</f>
        <v>18.937386666666665</v>
      </c>
      <c r="I130" s="51" t="s">
        <v>20</v>
      </c>
      <c r="J130" s="483"/>
      <c r="K130" s="2"/>
      <c r="L130" s="2"/>
    </row>
    <row r="131" spans="2:12" ht="14.25" thickBot="1">
      <c r="B131" s="359"/>
      <c r="C131" s="360"/>
      <c r="D131" s="361"/>
      <c r="E131" s="379" t="s">
        <v>371</v>
      </c>
      <c r="F131" s="361"/>
      <c r="G131" s="376" t="s">
        <v>17</v>
      </c>
      <c r="H131" s="175" t="s">
        <v>322</v>
      </c>
      <c r="I131" s="619" t="str">
        <f>IF(F128&lt;=H130,"◯","×")</f>
        <v>◯</v>
      </c>
      <c r="J131" s="483"/>
      <c r="K131" s="2"/>
      <c r="L131" s="2"/>
    </row>
    <row r="132" spans="2:12">
      <c r="B132" s="297" t="s">
        <v>321</v>
      </c>
      <c r="C132" s="298"/>
      <c r="D132" s="298"/>
      <c r="E132" s="241"/>
      <c r="F132" s="241"/>
      <c r="G132" s="241"/>
      <c r="H132" s="241"/>
      <c r="I132" s="241"/>
      <c r="J132" s="483"/>
      <c r="K132" s="2"/>
      <c r="L132" s="2"/>
    </row>
    <row r="133" spans="2:12">
      <c r="B133" s="527" t="s">
        <v>221</v>
      </c>
      <c r="C133" s="574" t="s">
        <v>659</v>
      </c>
      <c r="D133" s="88">
        <f>(E25)</f>
        <v>84.671999999999997</v>
      </c>
      <c r="E133" s="118">
        <f>($F$9)</f>
        <v>1.82</v>
      </c>
      <c r="F133" s="589" t="s">
        <v>95</v>
      </c>
      <c r="G133" s="125">
        <f>(D133)*(E133)/2</f>
        <v>77.051519999999996</v>
      </c>
      <c r="H133" s="19" t="s">
        <v>31</v>
      </c>
      <c r="I133" s="541"/>
      <c r="J133" s="483"/>
      <c r="K133" s="2"/>
      <c r="L133" s="2"/>
    </row>
    <row r="134" spans="2:12">
      <c r="B134" s="466" t="s">
        <v>431</v>
      </c>
      <c r="C134" s="529"/>
      <c r="D134" s="17" t="s">
        <v>18</v>
      </c>
      <c r="E134" s="586" t="s">
        <v>92</v>
      </c>
      <c r="F134" s="248"/>
      <c r="G134" s="248"/>
      <c r="H134" s="248"/>
      <c r="I134" s="248"/>
      <c r="J134" s="42"/>
      <c r="K134" s="2"/>
      <c r="L134" s="2"/>
    </row>
    <row r="135" spans="2:12">
      <c r="B135" s="261"/>
      <c r="C135" s="1030"/>
      <c r="D135" s="542"/>
      <c r="E135" s="543"/>
      <c r="F135" s="484"/>
      <c r="G135" s="544"/>
      <c r="H135" s="391"/>
      <c r="I135" s="545"/>
      <c r="J135" s="483"/>
      <c r="K135" s="248"/>
      <c r="L135" s="2"/>
    </row>
    <row r="136" spans="2:12">
      <c r="B136" s="466" t="s">
        <v>221</v>
      </c>
      <c r="C136" s="529" t="s">
        <v>660</v>
      </c>
      <c r="D136" s="196">
        <f>E24</f>
        <v>1350</v>
      </c>
      <c r="E136" s="290">
        <f>E27</f>
        <v>0.91</v>
      </c>
      <c r="F136" s="486">
        <f>(E27)+2*MAX(0,F9-E27)</f>
        <v>2.73</v>
      </c>
      <c r="G136" s="546">
        <f>F9</f>
        <v>1.82</v>
      </c>
      <c r="H136" s="547">
        <f>(D136)*(E136)*(F136)/2/(G136)</f>
        <v>921.37499999999989</v>
      </c>
      <c r="I136" s="19" t="s">
        <v>31</v>
      </c>
      <c r="J136" s="483"/>
      <c r="K136" s="248"/>
      <c r="L136" s="2"/>
    </row>
    <row r="137" spans="2:12">
      <c r="B137" s="466" t="s">
        <v>425</v>
      </c>
      <c r="C137" s="529"/>
      <c r="D137" s="17" t="s">
        <v>18</v>
      </c>
      <c r="E137" s="45" t="s">
        <v>432</v>
      </c>
      <c r="I137" s="246"/>
      <c r="J137" s="483"/>
      <c r="K137" s="2"/>
      <c r="L137" s="2"/>
    </row>
    <row r="138" spans="2:12">
      <c r="B138" s="310"/>
      <c r="C138" s="529" t="s">
        <v>661</v>
      </c>
      <c r="D138" s="196">
        <f>E24</f>
        <v>1350</v>
      </c>
      <c r="E138" s="290">
        <f>E28</f>
        <v>0</v>
      </c>
      <c r="F138" s="486">
        <f>(E28)+2*MAX(0,F9-E28)</f>
        <v>3.64</v>
      </c>
      <c r="G138" s="546">
        <f>F9</f>
        <v>1.82</v>
      </c>
      <c r="H138" s="547">
        <f>(D138)*(E138)*(F138)/2/(G138)</f>
        <v>0</v>
      </c>
      <c r="I138" s="19" t="s">
        <v>31</v>
      </c>
      <c r="J138" s="483"/>
      <c r="K138" s="2"/>
      <c r="L138" s="2"/>
    </row>
    <row r="139" spans="2:12">
      <c r="B139" s="310"/>
      <c r="C139" s="590"/>
      <c r="D139" s="17" t="s">
        <v>18</v>
      </c>
      <c r="E139" s="45" t="s">
        <v>433</v>
      </c>
      <c r="I139" s="246"/>
      <c r="J139" s="42"/>
      <c r="K139" s="2"/>
      <c r="L139" s="2"/>
    </row>
    <row r="140" spans="2:12">
      <c r="B140" s="381"/>
      <c r="C140" s="528"/>
      <c r="D140" s="558"/>
      <c r="E140" s="558"/>
      <c r="F140" s="558"/>
      <c r="G140" s="558"/>
      <c r="H140" s="558"/>
      <c r="I140" s="380"/>
      <c r="J140" s="42"/>
      <c r="K140" s="2"/>
      <c r="L140" s="2"/>
    </row>
    <row r="141" spans="2:12">
      <c r="B141" s="387" t="s">
        <v>143</v>
      </c>
      <c r="C141" s="1011" t="s">
        <v>544</v>
      </c>
      <c r="D141" s="102" t="s">
        <v>158</v>
      </c>
      <c r="E141" s="158">
        <f>((D34)+(D36))*(E27)/(F9)</f>
        <v>1650</v>
      </c>
      <c r="F141" s="19" t="s">
        <v>31</v>
      </c>
      <c r="G141" s="60" t="s">
        <v>545</v>
      </c>
      <c r="H141" s="91">
        <f>((D34)+(D36))*(F9-E27)/F9</f>
        <v>1650</v>
      </c>
      <c r="I141" s="89" t="s">
        <v>31</v>
      </c>
      <c r="J141" s="2"/>
      <c r="K141" s="2"/>
      <c r="L141" s="2"/>
    </row>
    <row r="142" spans="2:12">
      <c r="B142" s="310"/>
      <c r="C142" s="1011" t="s">
        <v>546</v>
      </c>
      <c r="D142" s="102" t="s">
        <v>159</v>
      </c>
      <c r="E142" s="586">
        <f>((D34)+(D36))*(E28)/(F9)</f>
        <v>0</v>
      </c>
      <c r="F142" s="19" t="s">
        <v>31</v>
      </c>
      <c r="G142" s="60" t="s">
        <v>547</v>
      </c>
      <c r="H142" s="91">
        <f>IF(E28=0,0,((D34)+(D36))*(F9-E28)/F9)</f>
        <v>0</v>
      </c>
      <c r="I142" s="89" t="s">
        <v>31</v>
      </c>
      <c r="L142" s="2"/>
    </row>
    <row r="143" spans="2:12">
      <c r="B143" s="310"/>
      <c r="C143" s="588"/>
      <c r="D143" s="90" t="s">
        <v>85</v>
      </c>
      <c r="E143" s="586">
        <f>SUM(E141:E142)</f>
        <v>1650</v>
      </c>
      <c r="F143" s="19" t="s">
        <v>31</v>
      </c>
      <c r="G143" s="90" t="s">
        <v>85</v>
      </c>
      <c r="H143" s="586">
        <f>SUM(H141:H142)</f>
        <v>1650</v>
      </c>
      <c r="I143" s="89" t="s">
        <v>31</v>
      </c>
      <c r="L143" s="2"/>
    </row>
    <row r="144" spans="2:12">
      <c r="B144" s="310"/>
      <c r="C144" s="890" t="s">
        <v>166</v>
      </c>
      <c r="D144" s="88">
        <f>G133+H136+H138+H144</f>
        <v>2648.42652</v>
      </c>
      <c r="E144" s="19" t="s">
        <v>31</v>
      </c>
      <c r="F144" s="463" t="s">
        <v>267</v>
      </c>
      <c r="G144" s="90"/>
      <c r="H144" s="1018">
        <f>MAX(E143,H143)</f>
        <v>1650</v>
      </c>
      <c r="I144" s="89" t="s">
        <v>662</v>
      </c>
      <c r="L144" s="2"/>
    </row>
    <row r="145" spans="2:12">
      <c r="B145" s="310"/>
      <c r="C145" s="252"/>
      <c r="D145" s="17"/>
      <c r="E145" s="586"/>
      <c r="F145" s="248"/>
      <c r="G145" s="248"/>
      <c r="H145" s="248"/>
      <c r="I145" s="246"/>
      <c r="L145" s="2"/>
    </row>
    <row r="146" spans="2:12">
      <c r="B146" s="310"/>
      <c r="C146" s="585" t="s">
        <v>293</v>
      </c>
      <c r="D146" s="60" t="s">
        <v>628</v>
      </c>
      <c r="E146" s="93" t="s">
        <v>32</v>
      </c>
      <c r="F146" s="125">
        <f>D144</f>
        <v>2648.42652</v>
      </c>
      <c r="G146" s="123">
        <f>(D40)</f>
        <v>21600</v>
      </c>
      <c r="H146" s="159">
        <f>1.5*(F146)/(G146)</f>
        <v>0.18391850833333334</v>
      </c>
      <c r="I146" s="95" t="s">
        <v>36</v>
      </c>
      <c r="L146" s="2"/>
    </row>
    <row r="147" spans="2:12">
      <c r="B147" s="310"/>
      <c r="C147" s="244"/>
      <c r="D147" s="588"/>
      <c r="E147" s="19"/>
      <c r="F147" s="19"/>
      <c r="G147" s="589" t="s">
        <v>315</v>
      </c>
      <c r="H147" s="92"/>
      <c r="I147" s="89"/>
      <c r="L147" s="2"/>
    </row>
    <row r="148" spans="2:12">
      <c r="B148" s="310"/>
      <c r="C148" s="1010" t="s">
        <v>94</v>
      </c>
      <c r="D148" s="92" t="s">
        <v>89</v>
      </c>
      <c r="E148" s="119">
        <f>C14</f>
        <v>1</v>
      </c>
      <c r="F148" s="125">
        <f>1.1*(data!K17)/3</f>
        <v>0.66</v>
      </c>
      <c r="G148" s="120">
        <f>C14</f>
        <v>1</v>
      </c>
      <c r="H148" s="159">
        <f>(F148)*(C14)</f>
        <v>0.66</v>
      </c>
      <c r="I148" s="540" t="s">
        <v>36</v>
      </c>
      <c r="J148" s="248"/>
      <c r="K148" s="248"/>
      <c r="L148" s="2"/>
    </row>
    <row r="149" spans="2:12" ht="14.25" thickBot="1">
      <c r="B149" s="310"/>
      <c r="C149" s="253"/>
      <c r="D149" s="254"/>
      <c r="E149" s="253" t="s">
        <v>17</v>
      </c>
      <c r="F149" s="254"/>
      <c r="G149" s="62" t="s">
        <v>17</v>
      </c>
      <c r="H149" s="175" t="s">
        <v>322</v>
      </c>
      <c r="I149" s="619" t="str">
        <f>IF(H146&lt;=H148,"◯","×")</f>
        <v>◯</v>
      </c>
      <c r="J149" s="19"/>
      <c r="K149" s="19"/>
      <c r="L149" s="2"/>
    </row>
    <row r="150" spans="2:12">
      <c r="B150" s="310"/>
      <c r="C150" s="59"/>
      <c r="D150" s="249"/>
      <c r="E150" s="249"/>
      <c r="F150" s="249"/>
      <c r="G150" s="249"/>
      <c r="H150" s="249"/>
      <c r="I150" s="250"/>
      <c r="J150" s="90"/>
      <c r="K150" s="19"/>
      <c r="L150" s="2"/>
    </row>
    <row r="151" spans="2:12">
      <c r="B151" s="310"/>
      <c r="C151" s="60" t="s">
        <v>544</v>
      </c>
      <c r="D151" s="102" t="s">
        <v>158</v>
      </c>
      <c r="E151" s="158">
        <f>((E34)+(D36))*(E27)/(F9)</f>
        <v>1971.5</v>
      </c>
      <c r="F151" s="19" t="s">
        <v>31</v>
      </c>
      <c r="G151" s="60" t="s">
        <v>545</v>
      </c>
      <c r="H151" s="91">
        <f>((E34)+(D36))*(F9-E27)/F9</f>
        <v>1971.5</v>
      </c>
      <c r="I151" s="89" t="s">
        <v>31</v>
      </c>
      <c r="J151" s="2"/>
      <c r="K151" s="2"/>
      <c r="L151" s="2"/>
    </row>
    <row r="152" spans="2:12">
      <c r="B152" s="310"/>
      <c r="C152" s="60" t="s">
        <v>546</v>
      </c>
      <c r="D152" s="102" t="s">
        <v>159</v>
      </c>
      <c r="E152" s="158">
        <f>((E34)+(D36))*(E28)/(F9)</f>
        <v>0</v>
      </c>
      <c r="F152" s="19" t="s">
        <v>31</v>
      </c>
      <c r="G152" s="60" t="s">
        <v>547</v>
      </c>
      <c r="H152" s="91">
        <f>IF(E28=0,0,((E34)+(D36))*(F9-E28)/F9)</f>
        <v>0</v>
      </c>
      <c r="I152" s="89" t="s">
        <v>31</v>
      </c>
      <c r="J152" s="90"/>
      <c r="K152" s="19"/>
      <c r="L152" s="2"/>
    </row>
    <row r="153" spans="2:12">
      <c r="B153" s="310"/>
      <c r="C153" s="588"/>
      <c r="D153" s="90" t="s">
        <v>85</v>
      </c>
      <c r="E153" s="158">
        <f>SUM(E151:E152)</f>
        <v>1971.5</v>
      </c>
      <c r="F153" s="19" t="s">
        <v>31</v>
      </c>
      <c r="G153" s="90" t="s">
        <v>85</v>
      </c>
      <c r="H153" s="158">
        <f>SUM(H151:H152)</f>
        <v>1971.5</v>
      </c>
      <c r="I153" s="89" t="s">
        <v>31</v>
      </c>
      <c r="J153" s="248"/>
      <c r="K153" s="248"/>
    </row>
    <row r="154" spans="2:12">
      <c r="B154" s="310"/>
      <c r="C154" s="890" t="s">
        <v>166</v>
      </c>
      <c r="D154" s="88">
        <f>G133+H136+H138+H154</f>
        <v>2969.92652</v>
      </c>
      <c r="E154" s="19" t="s">
        <v>31</v>
      </c>
      <c r="F154" s="960" t="s">
        <v>228</v>
      </c>
      <c r="G154" s="90"/>
      <c r="H154" s="1019">
        <f>MAX(E153,H153)</f>
        <v>1971.5</v>
      </c>
      <c r="I154" s="34"/>
      <c r="J154" s="248"/>
      <c r="K154" s="248"/>
    </row>
    <row r="155" spans="2:12">
      <c r="B155" s="310"/>
      <c r="C155" s="252"/>
      <c r="D155" s="17"/>
      <c r="E155" s="586"/>
      <c r="F155" s="248"/>
      <c r="G155" s="248"/>
      <c r="H155" s="248"/>
      <c r="I155" s="246"/>
      <c r="J155" s="248"/>
      <c r="K155" s="248"/>
    </row>
    <row r="156" spans="2:12">
      <c r="B156" s="310"/>
      <c r="C156" s="585" t="s">
        <v>293</v>
      </c>
      <c r="D156" s="60" t="s">
        <v>626</v>
      </c>
      <c r="E156" s="93" t="s">
        <v>32</v>
      </c>
      <c r="F156" s="125">
        <f>D154</f>
        <v>2969.92652</v>
      </c>
      <c r="G156" s="123">
        <f>(D40)</f>
        <v>21600</v>
      </c>
      <c r="H156" s="159">
        <f>1.5*(F156)/(G156)</f>
        <v>0.2062448972222222</v>
      </c>
      <c r="I156" s="95" t="s">
        <v>36</v>
      </c>
      <c r="J156" s="2"/>
      <c r="K156" s="248"/>
    </row>
    <row r="157" spans="2:12">
      <c r="B157" s="310"/>
      <c r="C157" s="244"/>
      <c r="D157" s="588"/>
      <c r="E157" s="19"/>
      <c r="F157" s="19"/>
      <c r="G157" s="589" t="s">
        <v>315</v>
      </c>
      <c r="H157" s="92"/>
      <c r="I157" s="89"/>
      <c r="J157" s="2"/>
      <c r="K157" s="2"/>
    </row>
    <row r="158" spans="2:12">
      <c r="B158" s="310"/>
      <c r="C158" s="1010" t="s">
        <v>94</v>
      </c>
      <c r="D158" s="588" t="s">
        <v>288</v>
      </c>
      <c r="E158" s="119">
        <f>C14</f>
        <v>1</v>
      </c>
      <c r="F158" s="125">
        <f>1.3*1.1*(data!K17)/3</f>
        <v>0.8580000000000001</v>
      </c>
      <c r="G158" s="120">
        <f>C14</f>
        <v>1</v>
      </c>
      <c r="H158" s="159">
        <f>(F158)*(C14)</f>
        <v>0.8580000000000001</v>
      </c>
      <c r="I158" s="540" t="s">
        <v>36</v>
      </c>
      <c r="J158" s="248"/>
      <c r="K158" s="248"/>
    </row>
    <row r="159" spans="2:12" ht="14.25" thickBot="1">
      <c r="B159" s="310"/>
      <c r="C159" s="253"/>
      <c r="D159" s="254"/>
      <c r="E159" s="253" t="s">
        <v>17</v>
      </c>
      <c r="F159" s="254"/>
      <c r="G159" s="62" t="s">
        <v>17</v>
      </c>
      <c r="H159" s="175" t="s">
        <v>322</v>
      </c>
      <c r="I159" s="619" t="str">
        <f>IF(H156&lt;=H158,"◯","×")</f>
        <v>◯</v>
      </c>
      <c r="J159" s="19"/>
      <c r="K159" s="248"/>
    </row>
    <row r="160" spans="2:12">
      <c r="B160" s="310"/>
      <c r="C160" s="59"/>
      <c r="D160" s="249"/>
      <c r="E160" s="249"/>
      <c r="F160" s="249"/>
      <c r="G160" s="249"/>
      <c r="H160" s="249"/>
      <c r="I160" s="250"/>
      <c r="J160" s="90"/>
      <c r="K160" s="248"/>
    </row>
    <row r="161" spans="2:11">
      <c r="B161" s="310"/>
      <c r="C161" s="60" t="s">
        <v>544</v>
      </c>
      <c r="D161" s="102" t="s">
        <v>158</v>
      </c>
      <c r="E161" s="158">
        <f>((F34)+(D36))*(E27)/(F9)</f>
        <v>2109</v>
      </c>
      <c r="F161" s="19" t="s">
        <v>31</v>
      </c>
      <c r="G161" s="60" t="s">
        <v>545</v>
      </c>
      <c r="H161" s="91">
        <f>((F34)+(D36))*(F9-E27)/F9</f>
        <v>2109</v>
      </c>
      <c r="I161" s="89" t="s">
        <v>31</v>
      </c>
      <c r="J161" s="2"/>
      <c r="K161" s="2"/>
    </row>
    <row r="162" spans="2:11">
      <c r="B162" s="310"/>
      <c r="C162" s="60" t="s">
        <v>546</v>
      </c>
      <c r="D162" s="102" t="s">
        <v>159</v>
      </c>
      <c r="E162" s="158">
        <f>((F34)+(D36))*(E28)/(F9)</f>
        <v>0</v>
      </c>
      <c r="F162" s="19" t="s">
        <v>31</v>
      </c>
      <c r="G162" s="60" t="s">
        <v>547</v>
      </c>
      <c r="H162" s="91">
        <f>IF(E28=0,0,((F34)+(D36))*(F9-E28)/F9)</f>
        <v>0</v>
      </c>
      <c r="I162" s="89" t="s">
        <v>31</v>
      </c>
      <c r="J162" s="90"/>
      <c r="K162" s="248"/>
    </row>
    <row r="163" spans="2:11">
      <c r="B163" s="310"/>
      <c r="C163" s="588"/>
      <c r="D163" s="90" t="s">
        <v>85</v>
      </c>
      <c r="E163" s="158">
        <f>SUM(E161:E162)</f>
        <v>2109</v>
      </c>
      <c r="F163" s="19" t="s">
        <v>31</v>
      </c>
      <c r="G163" s="90" t="s">
        <v>85</v>
      </c>
      <c r="H163" s="158">
        <f>SUM(H161:H162)</f>
        <v>2109</v>
      </c>
      <c r="I163" s="89" t="s">
        <v>31</v>
      </c>
      <c r="J163" s="248"/>
      <c r="K163" s="248"/>
    </row>
    <row r="164" spans="2:11">
      <c r="B164" s="310"/>
      <c r="C164" s="890" t="s">
        <v>166</v>
      </c>
      <c r="D164" s="88">
        <f>G133+H136+H138+H164</f>
        <v>3107.42652</v>
      </c>
      <c r="E164" s="19" t="s">
        <v>31</v>
      </c>
      <c r="F164" s="960" t="s">
        <v>229</v>
      </c>
      <c r="G164" s="90"/>
      <c r="H164" s="1020">
        <f>MAX(E163,H163)</f>
        <v>2109</v>
      </c>
      <c r="I164" s="89"/>
      <c r="J164" s="248"/>
      <c r="K164" s="248"/>
    </row>
    <row r="165" spans="2:11">
      <c r="B165" s="310"/>
      <c r="C165" s="252"/>
      <c r="D165" s="17"/>
      <c r="E165" s="586"/>
      <c r="F165" s="248"/>
      <c r="G165" s="248"/>
      <c r="H165" s="248"/>
      <c r="I165" s="246"/>
      <c r="J165" s="248"/>
      <c r="K165" s="248"/>
    </row>
    <row r="166" spans="2:11">
      <c r="B166" s="310"/>
      <c r="C166" s="585" t="s">
        <v>293</v>
      </c>
      <c r="D166" s="60" t="s">
        <v>603</v>
      </c>
      <c r="E166" s="93" t="s">
        <v>32</v>
      </c>
      <c r="F166" s="125">
        <f>D164</f>
        <v>3107.42652</v>
      </c>
      <c r="G166" s="123">
        <f>(D40)</f>
        <v>21600</v>
      </c>
      <c r="H166" s="159">
        <f>1.5*(F166)/(G166)</f>
        <v>0.2157935083333333</v>
      </c>
      <c r="I166" s="95" t="s">
        <v>36</v>
      </c>
      <c r="J166" s="2"/>
      <c r="K166" s="248"/>
    </row>
    <row r="167" spans="2:11">
      <c r="B167" s="310"/>
      <c r="C167" s="244"/>
      <c r="D167" s="588"/>
      <c r="E167" s="19"/>
      <c r="F167" s="19"/>
      <c r="G167" s="552" t="s">
        <v>315</v>
      </c>
      <c r="H167" s="92"/>
      <c r="I167" s="89"/>
      <c r="J167" s="2"/>
      <c r="K167" s="2"/>
    </row>
    <row r="168" spans="2:11">
      <c r="B168" s="310"/>
      <c r="C168" s="1010" t="s">
        <v>94</v>
      </c>
      <c r="D168" s="588" t="s">
        <v>289</v>
      </c>
      <c r="E168" s="119">
        <f>C14</f>
        <v>1</v>
      </c>
      <c r="F168" s="125">
        <f>0.8*2*(data!K17)/3</f>
        <v>0.96000000000000008</v>
      </c>
      <c r="G168" s="120">
        <f>C14</f>
        <v>1</v>
      </c>
      <c r="H168" s="159">
        <f>(F168)*(C14)</f>
        <v>0.96000000000000008</v>
      </c>
      <c r="I168" s="540" t="s">
        <v>36</v>
      </c>
      <c r="J168" s="248"/>
      <c r="K168" s="248"/>
    </row>
    <row r="169" spans="2:11" ht="14.25" thickBot="1">
      <c r="B169" s="364"/>
      <c r="C169" s="360"/>
      <c r="D169" s="361"/>
      <c r="E169" s="360" t="s">
        <v>17</v>
      </c>
      <c r="F169" s="361"/>
      <c r="G169" s="362" t="s">
        <v>17</v>
      </c>
      <c r="H169" s="175" t="s">
        <v>322</v>
      </c>
      <c r="I169" s="619" t="str">
        <f>IF(H166&lt;=H168,"◯","×")</f>
        <v>◯</v>
      </c>
      <c r="J169" s="19"/>
      <c r="K169" s="19"/>
    </row>
    <row r="170" spans="2:11">
      <c r="B170" s="584" t="s">
        <v>122</v>
      </c>
      <c r="C170" s="419"/>
      <c r="D170" s="265"/>
      <c r="E170" s="266"/>
      <c r="F170" s="266"/>
      <c r="G170" s="266"/>
      <c r="H170" s="266"/>
      <c r="I170" s="266"/>
      <c r="J170" s="483"/>
      <c r="K170" s="248"/>
    </row>
    <row r="171" spans="2:11">
      <c r="B171" s="387" t="s">
        <v>221</v>
      </c>
      <c r="C171" s="574" t="s">
        <v>64</v>
      </c>
      <c r="D171" s="249"/>
      <c r="E171" s="249"/>
      <c r="F171" s="249"/>
      <c r="G171" s="249"/>
      <c r="H171" s="249"/>
      <c r="I171" s="249"/>
      <c r="J171" s="483"/>
      <c r="K171" s="248"/>
    </row>
    <row r="172" spans="2:11">
      <c r="B172" s="466" t="s">
        <v>431</v>
      </c>
      <c r="C172" s="196">
        <f>E25</f>
        <v>84.671999999999997</v>
      </c>
      <c r="D172" s="213">
        <f>(F9)</f>
        <v>1.82</v>
      </c>
      <c r="E172" s="41" t="s">
        <v>162</v>
      </c>
      <c r="F172" s="92">
        <f>data!J23</f>
        <v>7.2972799999999998</v>
      </c>
      <c r="G172" s="124">
        <f>E42</f>
        <v>58320000</v>
      </c>
      <c r="H172" s="96" t="s">
        <v>105</v>
      </c>
      <c r="I172" s="125">
        <f>(5*($C$172)*($D$172)^4)/(384*1000*($F$172)*(G172))*1000000000*2</f>
        <v>5.6848056238373822E-2</v>
      </c>
      <c r="J172" s="42"/>
      <c r="K172" s="465"/>
    </row>
    <row r="173" spans="2:11">
      <c r="B173" s="243"/>
      <c r="C173" s="583" t="s">
        <v>71</v>
      </c>
      <c r="D173" s="586" t="s">
        <v>92</v>
      </c>
      <c r="E173" s="245"/>
      <c r="F173" s="19" t="s">
        <v>37</v>
      </c>
      <c r="G173" s="251" t="s">
        <v>40</v>
      </c>
      <c r="H173" s="252" t="s">
        <v>66</v>
      </c>
      <c r="I173" s="586" t="s">
        <v>104</v>
      </c>
      <c r="J173" s="42"/>
      <c r="K173" s="2"/>
    </row>
    <row r="174" spans="2:11">
      <c r="B174" s="261"/>
      <c r="C174" s="253"/>
      <c r="D174" s="389"/>
      <c r="E174" s="390"/>
      <c r="F174" s="254"/>
      <c r="G174" s="391"/>
      <c r="H174" s="392"/>
      <c r="I174" s="575"/>
      <c r="J174" s="79"/>
      <c r="K174" s="2"/>
    </row>
    <row r="175" spans="2:11">
      <c r="B175" s="466" t="s">
        <v>221</v>
      </c>
      <c r="C175" s="574" t="s">
        <v>434</v>
      </c>
      <c r="D175" s="576" t="s">
        <v>436</v>
      </c>
      <c r="E175" s="577">
        <f>((E27))+($F$9-(E27)/2)/($F$9)</f>
        <v>1.6600000000000001</v>
      </c>
      <c r="F175" s="249"/>
      <c r="G175" s="147"/>
      <c r="H175" s="578"/>
      <c r="I175" s="579"/>
      <c r="J175" s="565"/>
      <c r="K175" s="2"/>
    </row>
    <row r="176" spans="2:11">
      <c r="B176" s="466" t="s">
        <v>425</v>
      </c>
      <c r="C176" s="529" t="s">
        <v>663</v>
      </c>
      <c r="D176" s="1350" t="s">
        <v>490</v>
      </c>
      <c r="E176" s="1369"/>
      <c r="F176" s="1369"/>
      <c r="G176" s="1369"/>
      <c r="H176" s="1369"/>
      <c r="I176" s="1370"/>
      <c r="J176" s="565"/>
      <c r="K176" s="2"/>
    </row>
    <row r="177" spans="2:11" ht="7.5" customHeight="1">
      <c r="B177" s="310"/>
      <c r="C177" s="1022"/>
      <c r="D177" s="1028">
        <f>(E27)*(4*($F$9)-(E27))*(E27)*(E27)-4*($E$175)*($E$175)</f>
        <v>-6.2221527300000004</v>
      </c>
      <c r="E177" s="1018">
        <f>($E$175)*(2*($F$9)-(E27))*(D177)+2*($F$9)*($E$175)*($E$175)*($E$175)*($E$175)/(E27)</f>
        <v>2.1757736981860063</v>
      </c>
      <c r="F177" s="2"/>
      <c r="G177" s="2"/>
      <c r="H177" s="2"/>
      <c r="I177" s="6"/>
    </row>
    <row r="178" spans="2:11">
      <c r="B178" s="310"/>
      <c r="C178" s="1022"/>
      <c r="D178" s="158">
        <f>(E24)*(E27)*(E177)/(48*(F172)*(G172)*(F9)*1000000000*2)</f>
        <v>3.594742086438789E-17</v>
      </c>
      <c r="E178" s="586" t="s">
        <v>104</v>
      </c>
      <c r="F178" s="2"/>
      <c r="G178" s="2"/>
      <c r="H178" s="2"/>
      <c r="I178" s="6"/>
    </row>
    <row r="179" spans="2:11">
      <c r="B179" s="310"/>
      <c r="C179" s="529" t="s">
        <v>435</v>
      </c>
      <c r="D179" s="576" t="s">
        <v>437</v>
      </c>
      <c r="E179" s="577">
        <f>((E28))+($F$9-(E28)/2)/($F$9)</f>
        <v>1</v>
      </c>
      <c r="F179" s="249"/>
      <c r="G179" s="147"/>
      <c r="H179" s="578"/>
      <c r="I179" s="579"/>
    </row>
    <row r="180" spans="2:11">
      <c r="B180" s="310"/>
      <c r="C180" s="529" t="s">
        <v>664</v>
      </c>
      <c r="D180" s="1350" t="s">
        <v>491</v>
      </c>
      <c r="E180" s="1369"/>
      <c r="F180" s="1369"/>
      <c r="G180" s="1369"/>
      <c r="H180" s="1369"/>
      <c r="I180" s="1370"/>
    </row>
    <row r="181" spans="2:11" ht="7.5" customHeight="1">
      <c r="B181" s="310"/>
      <c r="C181" s="7"/>
      <c r="D181" s="1028">
        <f>(E28)*(4*($F$9)-(E28))*(E28)*(E28)-4*($E$175)*($E$175)</f>
        <v>-11.022400000000001</v>
      </c>
      <c r="E181" s="1018">
        <f>IF(E28=0,0,($E$175)*(2*($F$9)-(E28))*(D181)+2*($F$9)*($E$175)*($E$175)*($E$175)*($E$175)/(E28))</f>
        <v>0</v>
      </c>
      <c r="F181" s="2"/>
      <c r="G181" s="2"/>
      <c r="H181" s="2"/>
      <c r="I181" s="6"/>
    </row>
    <row r="182" spans="2:11">
      <c r="B182" s="381"/>
      <c r="C182" s="581"/>
      <c r="D182" s="591">
        <f>(E24)*(E28)*(E181)/(48*(F172)*(G172)*(F9)*1000000000*2)</f>
        <v>0</v>
      </c>
      <c r="E182" s="390" t="s">
        <v>104</v>
      </c>
      <c r="F182" s="558"/>
      <c r="G182" s="558"/>
      <c r="H182" s="558"/>
      <c r="I182" s="380"/>
    </row>
    <row r="183" spans="2:11">
      <c r="B183" s="68" t="s">
        <v>143</v>
      </c>
      <c r="C183" s="244"/>
      <c r="J183" s="42"/>
      <c r="K183" s="248"/>
    </row>
    <row r="184" spans="2:11">
      <c r="B184" s="310"/>
      <c r="C184" s="573" t="s">
        <v>651</v>
      </c>
      <c r="D184" s="245"/>
      <c r="E184" s="245"/>
      <c r="F184" s="245"/>
      <c r="G184" s="245"/>
      <c r="H184" s="245"/>
      <c r="I184" s="248"/>
      <c r="J184" s="42"/>
      <c r="K184" s="248"/>
    </row>
    <row r="185" spans="2:11">
      <c r="B185" s="68"/>
      <c r="C185" s="196">
        <f>D34+D37</f>
        <v>2100</v>
      </c>
      <c r="D185" s="286">
        <f>MIN((($F$9)-(E27)),(E27))</f>
        <v>0.91</v>
      </c>
      <c r="E185" s="41" t="s">
        <v>164</v>
      </c>
      <c r="F185" s="161">
        <f>(D185)</f>
        <v>0.91</v>
      </c>
      <c r="G185" s="96" t="s">
        <v>173</v>
      </c>
      <c r="H185" s="162">
        <f>data!J23</f>
        <v>7.2972799999999998</v>
      </c>
      <c r="I185" s="163">
        <f>E42</f>
        <v>58320000</v>
      </c>
      <c r="J185" s="42"/>
      <c r="K185" s="248"/>
    </row>
    <row r="186" spans="2:11">
      <c r="B186" s="243"/>
      <c r="C186" s="27" t="s">
        <v>71</v>
      </c>
      <c r="D186" s="41"/>
      <c r="E186" s="41"/>
      <c r="F186" s="41"/>
      <c r="G186" s="41"/>
      <c r="H186" s="19" t="s">
        <v>37</v>
      </c>
      <c r="I186" s="586" t="s">
        <v>40</v>
      </c>
      <c r="J186" s="42"/>
      <c r="K186" s="248"/>
    </row>
    <row r="187" spans="2:11">
      <c r="B187" s="243"/>
      <c r="C187" s="164">
        <f>F9</f>
        <v>1.82</v>
      </c>
      <c r="D187" s="1197" t="s">
        <v>105</v>
      </c>
      <c r="E187" s="1197"/>
      <c r="F187" s="125">
        <f>((C185)*(D185)*((F9)*(F9)-(F185)*(F185))^(3/2))/(9*3^(0.5)*(H185)*1000*(I185)*(C187))*1000000000*2</f>
        <v>1.2394918942607236</v>
      </c>
      <c r="G187" s="588" t="s">
        <v>104</v>
      </c>
      <c r="H187" s="41"/>
      <c r="I187" s="19"/>
      <c r="J187" s="42"/>
      <c r="K187" s="248"/>
    </row>
    <row r="188" spans="2:11">
      <c r="B188" s="243"/>
      <c r="C188" s="573" t="s">
        <v>652</v>
      </c>
      <c r="D188" s="245"/>
      <c r="E188" s="252" t="s">
        <v>66</v>
      </c>
      <c r="F188" s="245"/>
      <c r="G188" s="245"/>
      <c r="H188" s="245"/>
      <c r="I188" s="248"/>
      <c r="J188" s="42"/>
      <c r="K188" s="248"/>
    </row>
    <row r="189" spans="2:11">
      <c r="B189" s="243"/>
      <c r="C189" s="196">
        <f>D34+D37</f>
        <v>2100</v>
      </c>
      <c r="D189" s="286">
        <f>MIN((($F$9)-(E28)),(E28))</f>
        <v>0</v>
      </c>
      <c r="E189" s="41" t="s">
        <v>164</v>
      </c>
      <c r="F189" s="161">
        <f>(D189)</f>
        <v>0</v>
      </c>
      <c r="G189" s="96" t="s">
        <v>173</v>
      </c>
      <c r="H189" s="162">
        <f>data!J23</f>
        <v>7.2972799999999998</v>
      </c>
      <c r="I189" s="163">
        <f>E42</f>
        <v>58320000</v>
      </c>
      <c r="J189" s="42"/>
      <c r="K189" s="248"/>
    </row>
    <row r="190" spans="2:11">
      <c r="B190" s="243"/>
      <c r="C190" s="27" t="s">
        <v>71</v>
      </c>
      <c r="D190" s="41"/>
      <c r="E190" s="41"/>
      <c r="F190" s="41"/>
      <c r="G190" s="41"/>
      <c r="H190" s="19" t="s">
        <v>37</v>
      </c>
      <c r="I190" s="586" t="s">
        <v>40</v>
      </c>
      <c r="J190" s="42"/>
      <c r="K190" s="248"/>
    </row>
    <row r="191" spans="2:11">
      <c r="B191" s="243"/>
      <c r="C191" s="164">
        <f>F9</f>
        <v>1.82</v>
      </c>
      <c r="D191" s="1197" t="s">
        <v>105</v>
      </c>
      <c r="E191" s="1197"/>
      <c r="F191" s="125">
        <f>((C189)*(D189)*((F9)*(F9)-(F189)*(F189))^(3/2))/(9*3^(0.5)*(H189)*1000*(I189)*(C191))*1000000000*2</f>
        <v>0</v>
      </c>
      <c r="G191" s="588" t="s">
        <v>104</v>
      </c>
      <c r="H191" s="41"/>
      <c r="I191" s="19"/>
      <c r="J191" s="42"/>
      <c r="K191" s="248"/>
    </row>
    <row r="192" spans="2:11">
      <c r="B192" s="243"/>
      <c r="C192" s="890" t="s">
        <v>92</v>
      </c>
      <c r="D192" s="245"/>
      <c r="E192" s="252" t="s">
        <v>66</v>
      </c>
      <c r="F192" s="245"/>
      <c r="G192" s="252"/>
      <c r="H192" s="245"/>
      <c r="I192" s="248"/>
      <c r="J192" s="42"/>
      <c r="K192" s="248"/>
    </row>
    <row r="193" spans="2:11">
      <c r="B193" s="243"/>
      <c r="C193" s="573" t="s">
        <v>165</v>
      </c>
      <c r="D193" s="218">
        <f>(I172)+(D178)+(D182)+(F187)+(F191)</f>
        <v>1.2963399504990973</v>
      </c>
      <c r="E193" s="580" t="s">
        <v>104</v>
      </c>
      <c r="F193" s="472" t="s">
        <v>267</v>
      </c>
      <c r="G193" s="245"/>
      <c r="H193" s="245"/>
      <c r="I193" s="248"/>
      <c r="J193" s="483"/>
      <c r="K193" s="248"/>
    </row>
    <row r="194" spans="2:11" ht="14.25" thickBot="1">
      <c r="B194" s="243"/>
      <c r="C194" s="389" t="s">
        <v>94</v>
      </c>
      <c r="D194" s="592" t="s">
        <v>68</v>
      </c>
      <c r="E194" s="544">
        <f>1000*(F9)/250</f>
        <v>7.28</v>
      </c>
      <c r="F194" s="391" t="s">
        <v>106</v>
      </c>
      <c r="G194" s="254"/>
      <c r="H194" s="593" t="s">
        <v>322</v>
      </c>
      <c r="I194" s="619" t="str">
        <f>IF(D193&lt;=E194,"◯","×")</f>
        <v>◯</v>
      </c>
      <c r="J194" s="42"/>
      <c r="K194" s="2"/>
    </row>
    <row r="195" spans="2:11" ht="14.25" thickTop="1">
      <c r="B195" s="243"/>
      <c r="C195" s="1031" t="s">
        <v>681</v>
      </c>
      <c r="D195" s="245"/>
      <c r="E195" s="245"/>
      <c r="F195" s="245"/>
      <c r="G195" s="245"/>
      <c r="H195" s="245"/>
      <c r="I195" s="267"/>
      <c r="J195" s="2"/>
      <c r="K195" s="2"/>
    </row>
    <row r="196" spans="2:11">
      <c r="B196" s="243"/>
      <c r="C196" s="196">
        <f>E34+D37</f>
        <v>2743</v>
      </c>
      <c r="D196" s="286">
        <f>MIN((($F$9)-(E27)),(E27))</f>
        <v>0.91</v>
      </c>
      <c r="E196" s="41" t="s">
        <v>164</v>
      </c>
      <c r="F196" s="161">
        <f>(D196)</f>
        <v>0.91</v>
      </c>
      <c r="G196" s="96" t="s">
        <v>173</v>
      </c>
      <c r="H196" s="162">
        <f>data!J23</f>
        <v>7.2972799999999998</v>
      </c>
      <c r="I196" s="594">
        <f>E42</f>
        <v>58320000</v>
      </c>
      <c r="J196" s="2"/>
      <c r="K196" s="2"/>
    </row>
    <row r="197" spans="2:11">
      <c r="B197" s="243"/>
      <c r="C197" s="27" t="s">
        <v>71</v>
      </c>
      <c r="D197" s="41"/>
      <c r="E197" s="41"/>
      <c r="F197" s="41"/>
      <c r="G197" s="41"/>
      <c r="H197" s="19" t="s">
        <v>37</v>
      </c>
      <c r="I197" s="10" t="s">
        <v>40</v>
      </c>
      <c r="J197" s="2"/>
      <c r="K197" s="2"/>
    </row>
    <row r="198" spans="2:11">
      <c r="B198" s="243"/>
      <c r="C198" s="164">
        <f>F9</f>
        <v>1.82</v>
      </c>
      <c r="D198" s="1197" t="s">
        <v>105</v>
      </c>
      <c r="E198" s="1197"/>
      <c r="F198" s="125">
        <f>((C196)*(D196)*((F9)*(F9)-(F196)*(F196))^(3/2))/(9*3^(0.5)*(H196)*1000*(I196)*(C198))*1000000000*2</f>
        <v>1.6190125075986499</v>
      </c>
      <c r="G198" s="588" t="s">
        <v>104</v>
      </c>
      <c r="H198" s="41"/>
      <c r="I198" s="89"/>
      <c r="J198" s="2"/>
      <c r="K198" s="2"/>
    </row>
    <row r="199" spans="2:11">
      <c r="B199" s="243"/>
      <c r="C199" s="573" t="s">
        <v>682</v>
      </c>
      <c r="D199" s="245"/>
      <c r="E199" s="252" t="s">
        <v>66</v>
      </c>
      <c r="F199" s="245"/>
      <c r="G199" s="245"/>
      <c r="H199" s="245"/>
      <c r="I199" s="246"/>
      <c r="J199" s="2"/>
      <c r="K199" s="2"/>
    </row>
    <row r="200" spans="2:11">
      <c r="B200" s="243"/>
      <c r="C200" s="196">
        <f>E34+D37</f>
        <v>2743</v>
      </c>
      <c r="D200" s="286">
        <f>MIN((($F$9)-(E28)),(E28))</f>
        <v>0</v>
      </c>
      <c r="E200" s="41" t="s">
        <v>164</v>
      </c>
      <c r="F200" s="161">
        <f>(D200)</f>
        <v>0</v>
      </c>
      <c r="G200" s="96" t="s">
        <v>173</v>
      </c>
      <c r="H200" s="162">
        <f>data!J23</f>
        <v>7.2972799999999998</v>
      </c>
      <c r="I200" s="594">
        <f>E42</f>
        <v>58320000</v>
      </c>
      <c r="J200" s="2"/>
      <c r="K200" s="2"/>
    </row>
    <row r="201" spans="2:11">
      <c r="B201" s="243"/>
      <c r="C201" s="27" t="s">
        <v>71</v>
      </c>
      <c r="D201" s="41"/>
      <c r="E201" s="41"/>
      <c r="F201" s="41"/>
      <c r="G201" s="41"/>
      <c r="H201" s="19" t="s">
        <v>37</v>
      </c>
      <c r="I201" s="10" t="s">
        <v>40</v>
      </c>
      <c r="J201" s="2"/>
      <c r="K201" s="2"/>
    </row>
    <row r="202" spans="2:11">
      <c r="B202" s="243"/>
      <c r="C202" s="164">
        <f>F9</f>
        <v>1.82</v>
      </c>
      <c r="D202" s="1197" t="s">
        <v>105</v>
      </c>
      <c r="E202" s="1197"/>
      <c r="F202" s="125">
        <f>IF(D200=0,0,((C200)*(D200)*((E36)*(E36)-(F200)*(F200))^(3/2))/(9*3^(0.5)*(H200)*1000*(I200)*(C202))*1000000000*2)</f>
        <v>0</v>
      </c>
      <c r="G202" s="588" t="s">
        <v>104</v>
      </c>
      <c r="H202" s="41"/>
      <c r="I202" s="89"/>
      <c r="J202" s="2"/>
      <c r="K202" s="2"/>
    </row>
    <row r="203" spans="2:11">
      <c r="B203" s="243"/>
      <c r="C203" s="890" t="s">
        <v>92</v>
      </c>
      <c r="D203" s="245"/>
      <c r="E203" s="252" t="s">
        <v>66</v>
      </c>
      <c r="F203" s="245"/>
      <c r="G203" s="252"/>
      <c r="H203" s="245"/>
      <c r="I203" s="246"/>
      <c r="J203" s="2"/>
      <c r="K203" s="2"/>
    </row>
    <row r="204" spans="2:11">
      <c r="B204" s="243"/>
      <c r="C204" s="573" t="s">
        <v>165</v>
      </c>
      <c r="D204" s="218">
        <f>(I172)+(D178)+(D182)+(F198)+(F202)</f>
        <v>1.6758605638370239</v>
      </c>
      <c r="E204" s="580" t="s">
        <v>104</v>
      </c>
      <c r="F204" s="851" t="s">
        <v>228</v>
      </c>
      <c r="G204" s="245"/>
      <c r="H204" s="245"/>
      <c r="I204" s="246"/>
      <c r="J204" s="2"/>
      <c r="K204" s="2"/>
    </row>
    <row r="205" spans="2:11" ht="14.25" thickBot="1">
      <c r="B205" s="243"/>
      <c r="C205" s="389" t="s">
        <v>94</v>
      </c>
      <c r="D205" s="592" t="s">
        <v>68</v>
      </c>
      <c r="E205" s="544">
        <f>1000*(F9)/250</f>
        <v>7.28</v>
      </c>
      <c r="F205" s="391" t="s">
        <v>106</v>
      </c>
      <c r="G205" s="254"/>
      <c r="H205" s="593" t="s">
        <v>322</v>
      </c>
      <c r="I205" s="619" t="str">
        <f>IF(D204&lt;=E205,"◯","×")</f>
        <v>◯</v>
      </c>
      <c r="J205" s="2"/>
      <c r="K205" s="2"/>
    </row>
    <row r="206" spans="2:11" ht="14.25" thickTop="1">
      <c r="B206" s="243"/>
      <c r="C206" s="244"/>
      <c r="I206" s="4"/>
      <c r="J206" s="2"/>
      <c r="K206" s="2"/>
    </row>
    <row r="207" spans="2:11">
      <c r="B207" s="243"/>
      <c r="C207" s="573" t="s">
        <v>667</v>
      </c>
      <c r="D207" s="245"/>
      <c r="E207" s="245"/>
      <c r="F207" s="245"/>
      <c r="G207" s="245"/>
      <c r="H207" s="245"/>
      <c r="I207" s="246"/>
      <c r="J207" s="2"/>
      <c r="K207" s="2"/>
    </row>
    <row r="208" spans="2:11">
      <c r="B208" s="243"/>
      <c r="C208" s="196">
        <f>F34+D37</f>
        <v>3018</v>
      </c>
      <c r="D208" s="286">
        <f>MIN((($F$9)-(E27)),(E27))</f>
        <v>0.91</v>
      </c>
      <c r="E208" s="41" t="s">
        <v>164</v>
      </c>
      <c r="F208" s="161">
        <f>(D208)</f>
        <v>0.91</v>
      </c>
      <c r="G208" s="96" t="s">
        <v>173</v>
      </c>
      <c r="H208" s="162">
        <f>data!J23</f>
        <v>7.2972799999999998</v>
      </c>
      <c r="I208" s="594">
        <f>E42</f>
        <v>58320000</v>
      </c>
      <c r="J208" s="2"/>
      <c r="K208" s="2"/>
    </row>
    <row r="209" spans="2:11">
      <c r="B209" s="243"/>
      <c r="C209" s="27" t="s">
        <v>71</v>
      </c>
      <c r="D209" s="41"/>
      <c r="E209" s="41"/>
      <c r="F209" s="41"/>
      <c r="G209" s="41"/>
      <c r="H209" s="19" t="s">
        <v>37</v>
      </c>
      <c r="I209" s="10" t="s">
        <v>40</v>
      </c>
      <c r="J209" s="2"/>
      <c r="K209" s="2"/>
    </row>
    <row r="210" spans="2:11">
      <c r="B210" s="243"/>
      <c r="C210" s="164">
        <f>F9</f>
        <v>1.82</v>
      </c>
      <c r="D210" s="1197" t="s">
        <v>105</v>
      </c>
      <c r="E210" s="1197"/>
      <c r="F210" s="125">
        <f>((C208)*(D208)*((F9)*(F9)-(F208)*(F208))^(3/2))/(9*3^(0.5)*(H208)*1000*(I208)*(C210))*1000000000*2</f>
        <v>1.7813269223232684</v>
      </c>
      <c r="G210" s="588" t="s">
        <v>104</v>
      </c>
      <c r="H210" s="41"/>
      <c r="I210" s="89"/>
      <c r="J210" s="2"/>
      <c r="K210" s="2"/>
    </row>
    <row r="211" spans="2:11">
      <c r="B211" s="243"/>
      <c r="C211" s="573" t="s">
        <v>668</v>
      </c>
      <c r="D211" s="245"/>
      <c r="E211" s="252" t="s">
        <v>66</v>
      </c>
      <c r="F211" s="245"/>
      <c r="G211" s="245"/>
      <c r="H211" s="245"/>
      <c r="I211" s="246"/>
      <c r="J211" s="2"/>
      <c r="K211" s="2"/>
    </row>
    <row r="212" spans="2:11">
      <c r="B212" s="243"/>
      <c r="C212" s="196">
        <f>F34+D37</f>
        <v>3018</v>
      </c>
      <c r="D212" s="286">
        <f>MIN((($F$9)-(E28)),(E28))</f>
        <v>0</v>
      </c>
      <c r="E212" s="41" t="s">
        <v>164</v>
      </c>
      <c r="F212" s="161">
        <f>(D212)</f>
        <v>0</v>
      </c>
      <c r="G212" s="96" t="s">
        <v>173</v>
      </c>
      <c r="H212" s="162">
        <f>data!J23</f>
        <v>7.2972799999999998</v>
      </c>
      <c r="I212" s="594">
        <f>E42</f>
        <v>58320000</v>
      </c>
      <c r="J212" s="2"/>
      <c r="K212" s="2"/>
    </row>
    <row r="213" spans="2:11">
      <c r="B213" s="243"/>
      <c r="C213" s="27" t="s">
        <v>71</v>
      </c>
      <c r="D213" s="41"/>
      <c r="E213" s="41"/>
      <c r="F213" s="41"/>
      <c r="G213" s="41"/>
      <c r="H213" s="19" t="s">
        <v>37</v>
      </c>
      <c r="I213" s="10" t="s">
        <v>40</v>
      </c>
      <c r="J213" s="2"/>
      <c r="K213" s="2"/>
    </row>
    <row r="214" spans="2:11">
      <c r="B214" s="243"/>
      <c r="C214" s="164">
        <f>F9</f>
        <v>1.82</v>
      </c>
      <c r="D214" s="1197" t="s">
        <v>105</v>
      </c>
      <c r="E214" s="1197"/>
      <c r="F214" s="125">
        <f>IF(D212=0,0,((C212)*(D212)*((F9)*(F9)-(F212)*(F212))^(3/2))/(9*3^(0.5)*(H212)*1000*(I212)*(C214))*1000000000*2)</f>
        <v>0</v>
      </c>
      <c r="G214" s="588" t="s">
        <v>104</v>
      </c>
      <c r="H214" s="41"/>
      <c r="I214" s="89"/>
      <c r="J214" s="2"/>
      <c r="K214" s="2"/>
    </row>
    <row r="215" spans="2:11">
      <c r="B215" s="243"/>
      <c r="C215" s="890" t="s">
        <v>92</v>
      </c>
      <c r="D215" s="245"/>
      <c r="E215" s="252" t="s">
        <v>66</v>
      </c>
      <c r="F215" s="245"/>
      <c r="G215" s="252"/>
      <c r="H215" s="245"/>
      <c r="I215" s="246"/>
      <c r="J215" s="2"/>
      <c r="K215" s="2"/>
    </row>
    <row r="216" spans="2:11">
      <c r="B216" s="243"/>
      <c r="C216" s="573" t="s">
        <v>165</v>
      </c>
      <c r="D216" s="218">
        <f>(I172)+(D178)+(D182)+(F210)+(F214)</f>
        <v>1.8381749785616424</v>
      </c>
      <c r="E216" s="580" t="s">
        <v>104</v>
      </c>
      <c r="F216" s="851" t="s">
        <v>229</v>
      </c>
      <c r="G216" s="245"/>
      <c r="H216" s="245"/>
      <c r="I216" s="246"/>
      <c r="J216" s="2"/>
      <c r="K216" s="2"/>
    </row>
    <row r="217" spans="2:11" ht="14.25" thickBot="1">
      <c r="B217" s="595"/>
      <c r="C217" s="1032" t="s">
        <v>94</v>
      </c>
      <c r="D217" s="1033" t="s">
        <v>68</v>
      </c>
      <c r="E217" s="598">
        <f>1000*(F9)/250</f>
        <v>7.28</v>
      </c>
      <c r="F217" s="599" t="s">
        <v>106</v>
      </c>
      <c r="G217" s="600"/>
      <c r="H217" s="601" t="s">
        <v>322</v>
      </c>
      <c r="I217" s="619" t="str">
        <f>IF(D216&lt;=E217,"◯","×")</f>
        <v>◯</v>
      </c>
      <c r="J217" s="2"/>
      <c r="K217" s="2"/>
    </row>
    <row r="218" spans="2:11" ht="14.25" thickTop="1">
      <c r="B218" s="587"/>
      <c r="C218" s="587"/>
    </row>
  </sheetData>
  <sheetProtection password="CEF5" sheet="1" objects="1" scenarios="1" selectLockedCells="1"/>
  <mergeCells count="48">
    <mergeCell ref="B12:B13"/>
    <mergeCell ref="F13:H13"/>
    <mergeCell ref="D176:I176"/>
    <mergeCell ref="B2:H2"/>
    <mergeCell ref="F6:H6"/>
    <mergeCell ref="F7:H7"/>
    <mergeCell ref="B6:B7"/>
    <mergeCell ref="K49:L49"/>
    <mergeCell ref="C16:D17"/>
    <mergeCell ref="H14:H17"/>
    <mergeCell ref="Q38:R38"/>
    <mergeCell ref="M40:N40"/>
    <mergeCell ref="L42:O42"/>
    <mergeCell ref="Q19:R19"/>
    <mergeCell ref="C27:C28"/>
    <mergeCell ref="C18:D18"/>
    <mergeCell ref="L43:O43"/>
    <mergeCell ref="K45:L45"/>
    <mergeCell ref="K46:L46"/>
    <mergeCell ref="K47:L47"/>
    <mergeCell ref="K48:L48"/>
    <mergeCell ref="K50:L50"/>
    <mergeCell ref="K51:L51"/>
    <mergeCell ref="K52:L52"/>
    <mergeCell ref="K53:L53"/>
    <mergeCell ref="D210:E210"/>
    <mergeCell ref="D187:E187"/>
    <mergeCell ref="D191:E191"/>
    <mergeCell ref="D202:E202"/>
    <mergeCell ref="D214:E214"/>
    <mergeCell ref="D32:F32"/>
    <mergeCell ref="D33:F33"/>
    <mergeCell ref="B44:E44"/>
    <mergeCell ref="F44:G45"/>
    <mergeCell ref="B45:C45"/>
    <mergeCell ref="D45:E45"/>
    <mergeCell ref="C36:C37"/>
    <mergeCell ref="D180:I180"/>
    <mergeCell ref="G49:H50"/>
    <mergeCell ref="G51:H51"/>
    <mergeCell ref="F46:G46"/>
    <mergeCell ref="D198:E198"/>
    <mergeCell ref="J4:K4"/>
    <mergeCell ref="J6:K6"/>
    <mergeCell ref="J31:K31"/>
    <mergeCell ref="J37:K37"/>
    <mergeCell ref="L38:M38"/>
    <mergeCell ref="K13:L13"/>
  </mergeCells>
  <phoneticPr fontId="1"/>
  <dataValidations count="10">
    <dataValidation type="list" allowBlank="1" showInputMessage="1" showErrorMessage="1" sqref="C19" xr:uid="{00000000-0002-0000-0D00-000000000000}">
      <formula1>$AE$33:$AE$34</formula1>
    </dataValidation>
    <dataValidation type="list" allowBlank="1" showInputMessage="1" showErrorMessage="1" sqref="C18:D18" xr:uid="{00000000-0002-0000-0D00-000001000000}">
      <formula1>$AD$33:$AD$36</formula1>
    </dataValidation>
    <dataValidation type="list" allowBlank="1" showInputMessage="1" showErrorMessage="1" sqref="C4" xr:uid="{00000000-0002-0000-0D00-000002000000}">
      <formula1>$AD$26:$AD$29</formula1>
    </dataValidation>
    <dataValidation type="list" allowBlank="1" showInputMessage="1" showErrorMessage="1" sqref="C5" xr:uid="{00000000-0002-0000-0D00-000003000000}">
      <formula1>$AD$30:$AD$32</formula1>
    </dataValidation>
    <dataValidation type="list" allowBlank="1" showInputMessage="1" showErrorMessage="1" sqref="E5" xr:uid="{00000000-0002-0000-0D00-000004000000}">
      <formula1>$AD$17:$AD$25</formula1>
    </dataValidation>
    <dataValidation type="list" allowBlank="1" showInputMessage="1" showErrorMessage="1" sqref="C7" xr:uid="{00000000-0002-0000-0D00-000005000000}">
      <formula1>$AE$21:$AE$22</formula1>
    </dataValidation>
    <dataValidation type="list" allowBlank="1" showInputMessage="1" showErrorMessage="1" sqref="D7:E7" xr:uid="{00000000-0002-0000-0D00-000006000000}">
      <formula1>$AE$21:$AE$32</formula1>
    </dataValidation>
    <dataValidation type="list" allowBlank="1" showInputMessage="1" showErrorMessage="1" sqref="C21" xr:uid="{00000000-0002-0000-0D00-000007000000}">
      <formula1>$AF$17:$AF$22</formula1>
    </dataValidation>
    <dataValidation type="list" allowBlank="1" showInputMessage="1" showErrorMessage="1" sqref="H21" xr:uid="{00000000-0002-0000-0D00-000008000000}">
      <formula1>$AE$35:$AE$36</formula1>
    </dataValidation>
    <dataValidation allowBlank="1" showInputMessage="1" showErrorMessage="1" promptTitle="sei" sqref="AE17:AE22" xr:uid="{00000000-0002-0000-0D00-000009000000}"/>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49"/>
  <sheetViews>
    <sheetView zoomScale="120" zoomScaleNormal="120" workbookViewId="0">
      <selection activeCell="M10" sqref="M10"/>
    </sheetView>
  </sheetViews>
  <sheetFormatPr defaultColWidth="8.875" defaultRowHeight="13.5"/>
  <cols>
    <col min="1" max="16384" width="8.875" style="39"/>
  </cols>
  <sheetData>
    <row r="1" spans="1:17">
      <c r="B1" s="977" t="s">
        <v>307</v>
      </c>
      <c r="C1" s="978" t="s">
        <v>308</v>
      </c>
      <c r="D1" s="978" t="s">
        <v>309</v>
      </c>
      <c r="E1" s="977" t="s">
        <v>310</v>
      </c>
      <c r="F1" s="978" t="s">
        <v>308</v>
      </c>
      <c r="G1" s="978" t="s">
        <v>311</v>
      </c>
      <c r="H1" s="977" t="s">
        <v>310</v>
      </c>
      <c r="I1" s="978" t="s">
        <v>308</v>
      </c>
      <c r="J1" s="978" t="s">
        <v>309</v>
      </c>
    </row>
    <row r="2" spans="1:17">
      <c r="A2" s="979" t="s">
        <v>46</v>
      </c>
      <c r="B2" s="980">
        <v>35.507599999999996</v>
      </c>
      <c r="C2" s="980">
        <v>42.855550000000001</v>
      </c>
      <c r="D2" s="980">
        <v>41.501149999999996</v>
      </c>
      <c r="E2" s="980">
        <v>1.8</v>
      </c>
      <c r="F2" s="980">
        <v>2.1</v>
      </c>
      <c r="G2" s="980">
        <v>2.4</v>
      </c>
      <c r="H2" s="980">
        <v>7.2972799999999998</v>
      </c>
      <c r="I2" s="980">
        <v>12.119668000000001</v>
      </c>
      <c r="J2" s="980">
        <v>13.933288999999998</v>
      </c>
    </row>
    <row r="3" spans="1:17">
      <c r="A3" s="979" t="s">
        <v>45</v>
      </c>
      <c r="B3" s="980">
        <v>29.560099999999998</v>
      </c>
      <c r="C3" s="980">
        <v>37.875170000000004</v>
      </c>
      <c r="D3" s="980">
        <v>37.813220000000001</v>
      </c>
      <c r="E3" s="980">
        <v>1.8</v>
      </c>
      <c r="F3" s="980">
        <v>2.1</v>
      </c>
      <c r="G3" s="980">
        <v>2.4</v>
      </c>
      <c r="H3" s="980">
        <v>7.1217299999999994</v>
      </c>
      <c r="I3" s="980">
        <v>11.342789</v>
      </c>
      <c r="J3" s="980">
        <v>13.324300000000001</v>
      </c>
    </row>
    <row r="4" spans="1:17">
      <c r="A4" s="979" t="s">
        <v>47</v>
      </c>
      <c r="B4" s="980">
        <v>28.734289999999998</v>
      </c>
      <c r="C4" s="980">
        <v>33.963769999999997</v>
      </c>
      <c r="D4" s="980">
        <v>27.7607</v>
      </c>
      <c r="E4" s="980">
        <v>1.8</v>
      </c>
      <c r="F4" s="980">
        <v>2.1</v>
      </c>
      <c r="G4" s="980">
        <v>2.4</v>
      </c>
      <c r="H4" s="980">
        <v>6.7483599999999999</v>
      </c>
      <c r="I4" s="980">
        <v>10.678265999999999</v>
      </c>
      <c r="J4" s="980">
        <v>12.222756</v>
      </c>
    </row>
    <row r="5" spans="1:17">
      <c r="A5" s="979" t="s">
        <v>48</v>
      </c>
      <c r="B5" s="980">
        <v>24.680239999999998</v>
      </c>
      <c r="C5" s="980">
        <v>0</v>
      </c>
      <c r="D5" s="980">
        <v>0</v>
      </c>
      <c r="E5" s="980">
        <v>1.8</v>
      </c>
      <c r="F5" s="980">
        <v>2.1</v>
      </c>
      <c r="G5" s="980">
        <v>2.4</v>
      </c>
      <c r="H5" s="980">
        <v>5</v>
      </c>
      <c r="I5" s="980">
        <v>5</v>
      </c>
      <c r="J5" s="980">
        <v>5</v>
      </c>
    </row>
    <row r="6" spans="1:17">
      <c r="A6" s="979" t="s">
        <v>49</v>
      </c>
      <c r="B6" s="980">
        <v>31.322019999999995</v>
      </c>
      <c r="C6" s="980">
        <v>0</v>
      </c>
      <c r="D6" s="980">
        <v>0</v>
      </c>
      <c r="E6" s="980">
        <v>1.8</v>
      </c>
      <c r="F6" s="980">
        <v>2.1</v>
      </c>
      <c r="G6" s="980">
        <v>2.4</v>
      </c>
      <c r="H6" s="980">
        <v>7</v>
      </c>
      <c r="I6" s="980">
        <v>7</v>
      </c>
      <c r="J6" s="980">
        <v>7</v>
      </c>
    </row>
    <row r="7" spans="1:17">
      <c r="A7" s="979" t="s">
        <v>50</v>
      </c>
      <c r="B7" s="980">
        <v>37.288400000000003</v>
      </c>
      <c r="C7" s="980">
        <v>31.924060000000004</v>
      </c>
      <c r="D7" s="980">
        <v>0</v>
      </c>
      <c r="E7" s="980">
        <v>1.8</v>
      </c>
      <c r="F7" s="980">
        <v>2.1</v>
      </c>
      <c r="G7" s="980">
        <v>2.4</v>
      </c>
      <c r="H7" s="980">
        <v>9</v>
      </c>
      <c r="I7" s="980">
        <v>9</v>
      </c>
      <c r="J7" s="980">
        <v>9</v>
      </c>
    </row>
    <row r="8" spans="1:17">
      <c r="A8" s="979" t="s">
        <v>51</v>
      </c>
      <c r="B8" s="980">
        <v>49.685420000000001</v>
      </c>
      <c r="C8" s="980">
        <v>35.753410000000002</v>
      </c>
      <c r="D8" s="980">
        <v>27.497439999999994</v>
      </c>
      <c r="E8" s="980">
        <v>1.8</v>
      </c>
      <c r="F8" s="980">
        <v>2.1</v>
      </c>
      <c r="G8" s="980">
        <v>2.4</v>
      </c>
      <c r="H8" s="980">
        <v>11</v>
      </c>
      <c r="I8" s="980">
        <v>11</v>
      </c>
      <c r="J8" s="980">
        <v>11</v>
      </c>
      <c r="Q8" s="39">
        <f>たるき!D44</f>
        <v>2.2497007959754503</v>
      </c>
    </row>
    <row r="9" spans="1:17">
      <c r="A9" s="979" t="s">
        <v>52</v>
      </c>
      <c r="B9" s="980">
        <v>0</v>
      </c>
      <c r="C9" s="980">
        <v>44.377780000000001</v>
      </c>
      <c r="D9" s="980">
        <v>39.199399999999997</v>
      </c>
      <c r="E9" s="980">
        <v>1.8</v>
      </c>
      <c r="F9" s="980">
        <v>2.1</v>
      </c>
      <c r="G9" s="980">
        <v>2.4</v>
      </c>
      <c r="H9" s="980">
        <v>13</v>
      </c>
      <c r="I9" s="980">
        <v>13</v>
      </c>
      <c r="J9" s="980">
        <v>13</v>
      </c>
      <c r="Q9" s="39">
        <f>たるき!D63</f>
        <v>5.701487761958087</v>
      </c>
    </row>
    <row r="10" spans="1:17">
      <c r="A10" s="979" t="s">
        <v>53</v>
      </c>
      <c r="B10" s="980">
        <v>0</v>
      </c>
      <c r="C10" s="980">
        <v>52.167680000000004</v>
      </c>
      <c r="D10" s="980">
        <v>44.156999999999996</v>
      </c>
      <c r="E10" s="980">
        <v>1.8</v>
      </c>
      <c r="F10" s="980">
        <v>2.1</v>
      </c>
      <c r="G10" s="980">
        <v>2.4</v>
      </c>
      <c r="H10" s="980">
        <v>15</v>
      </c>
      <c r="I10" s="980">
        <v>15</v>
      </c>
      <c r="J10" s="980">
        <v>15</v>
      </c>
      <c r="Q10" s="39">
        <f>たるき!I74</f>
        <v>1.3307589514708886</v>
      </c>
    </row>
    <row r="11" spans="1:17" s="1036" customFormat="1" ht="13.5" customHeight="1">
      <c r="A11" s="1034">
        <v>910</v>
      </c>
      <c r="B11" s="1035">
        <v>45</v>
      </c>
      <c r="C11" s="1035">
        <f>(根太!C4)</f>
        <v>910</v>
      </c>
      <c r="D11" s="1035">
        <f>INDEX(B2:D10,MATCH(D12,A2:A10,0),MATCH(D13,B1:D1,0))</f>
        <v>35.507599999999996</v>
      </c>
      <c r="E11" s="1035">
        <f>INDEX(B2:D10,MATCH(E12,A2:A10,0),MATCH(E13,B1:D1,0))</f>
        <v>35.507599999999996</v>
      </c>
      <c r="F11" s="1035">
        <f>INDEX(B2:D10,MATCH(F12,A2:A10,0),MATCH(F13,B1:D1,0))</f>
        <v>35.507599999999996</v>
      </c>
      <c r="G11" s="1035">
        <f>INDEX(E2:G10,MATCH(G12,A2:A10,0),MATCH(G13,E1:G1,0))</f>
        <v>1.8</v>
      </c>
      <c r="H11" s="1035">
        <f>INDEX(E2:G10,MATCH(H12,A2:A10,0),MATCH(H13,E1:G1,0))</f>
        <v>1.8</v>
      </c>
      <c r="I11" s="1035">
        <f>INDEX(E2:G10,MATCH(I12,A2:A10,0),MATCH(I13,E1:G1,0))</f>
        <v>1.8</v>
      </c>
      <c r="J11" s="1035">
        <f>INDEX(H2:J10,MATCH(J12,A2:A10,0),MATCH(J13,H1:J1,0))</f>
        <v>7.2972799999999998</v>
      </c>
      <c r="K11" s="1035"/>
      <c r="L11" s="1035"/>
      <c r="M11" s="1035"/>
      <c r="N11" s="1035"/>
      <c r="O11" s="1035"/>
      <c r="P11" s="1035" t="s">
        <v>683</v>
      </c>
      <c r="Q11" s="1036">
        <f>(たるき!G49)*(たるき!D62)</f>
        <v>891</v>
      </c>
    </row>
    <row r="12" spans="1:17" s="1036" customFormat="1" ht="13.5" customHeight="1">
      <c r="A12" s="1037">
        <v>950</v>
      </c>
      <c r="B12" s="1036">
        <v>60</v>
      </c>
      <c r="C12" s="1038">
        <f>(C11)/3</f>
        <v>303.33333333333331</v>
      </c>
      <c r="D12" s="1036" t="str">
        <f>(根太!$E$5)</f>
        <v>目視１級</v>
      </c>
      <c r="E12" s="1036" t="str">
        <f>(たるき!E5)</f>
        <v>目視１級</v>
      </c>
      <c r="F12" s="1036" t="str">
        <f>(軒げた!E5)</f>
        <v>目視１級</v>
      </c>
      <c r="G12" s="1036" t="str">
        <f>(根太!$E$5)</f>
        <v>目視１級</v>
      </c>
      <c r="H12" s="1036" t="str">
        <f>(たるき!E5)</f>
        <v>目視１級</v>
      </c>
      <c r="I12" s="1036" t="str">
        <f>(軒げた!E5)</f>
        <v>目視１級</v>
      </c>
      <c r="J12" s="1036" t="str">
        <f>(根太!$E$5)</f>
        <v>目視１級</v>
      </c>
      <c r="P12" s="1036" t="s">
        <v>684</v>
      </c>
      <c r="Q12" s="1036">
        <f>(たるき!G51)*(たるき!D63)</f>
        <v>1158.3</v>
      </c>
    </row>
    <row r="13" spans="1:17" s="1036" customFormat="1" ht="13.5" customHeight="1">
      <c r="A13" s="1037">
        <v>1000</v>
      </c>
      <c r="B13" s="1036">
        <v>75</v>
      </c>
      <c r="C13" s="1038">
        <f>(C11)/2</f>
        <v>455</v>
      </c>
      <c r="D13" s="1036" t="str">
        <f>(根太!$C$5)</f>
        <v>すぎ</v>
      </c>
      <c r="E13" s="1036" t="str">
        <f>(たるき!C5)</f>
        <v>すぎ</v>
      </c>
      <c r="F13" s="1036" t="str">
        <f>(軒げた!C5)</f>
        <v>すぎ</v>
      </c>
      <c r="G13" s="1036" t="str">
        <f>(根太!$C$5)</f>
        <v>すぎ</v>
      </c>
      <c r="H13" s="1036" t="str">
        <f>(たるき!C5)</f>
        <v>すぎ</v>
      </c>
      <c r="I13" s="1036" t="str">
        <f>(軒げた!C5)</f>
        <v>すぎ</v>
      </c>
      <c r="J13" s="1036" t="str">
        <f>(根太!$C$5)</f>
        <v>すぎ</v>
      </c>
    </row>
    <row r="14" spans="1:17" s="1036" customFormat="1" ht="13.5" customHeight="1">
      <c r="A14" s="1037">
        <v>985</v>
      </c>
      <c r="B14" s="1036">
        <v>90</v>
      </c>
      <c r="D14" s="1036">
        <f>INDEX(B2:D10,MATCH(D15,A2:A10,0),MATCH(D16,B1:D1,0))</f>
        <v>35.507599999999996</v>
      </c>
      <c r="E14" s="1036">
        <f>INDEX(B2:D10,MATCH(E15,A2:A10,0),MATCH(E16,B1:D1,0))</f>
        <v>35.507599999999996</v>
      </c>
      <c r="F14" s="1036">
        <f>INDEX(B2:D10,MATCH(F15,A2:A10,0),MATCH(F16,B1:D1,0))</f>
        <v>35.507599999999996</v>
      </c>
      <c r="G14" s="1036">
        <f>INDEX(E2:G10,MATCH(G15,A2:A10,0),MATCH(G16,E1:G1,0))</f>
        <v>1.8</v>
      </c>
      <c r="H14" s="1036">
        <f>INDEX(E2:G10,MATCH(H15,A2:A10,0),MATCH(H16,E1:G1,0))</f>
        <v>1.8</v>
      </c>
      <c r="I14" s="1036">
        <f>INDEX(E2:G10,MATCH(I15,A2:A10,0),MATCH(I16,E1:G1,0))</f>
        <v>1.8</v>
      </c>
      <c r="J14" s="1036">
        <f>INDEX(H2:J10,MATCH(J15,A2:A10,0),MATCH(J16,H1:J1,0))</f>
        <v>7.2972799999999998</v>
      </c>
      <c r="K14" s="1036">
        <f>INDEX(E2:G10,MATCH(K15,A2:A10,0),MATCH(K16,E1:G1,0))</f>
        <v>1.8</v>
      </c>
    </row>
    <row r="15" spans="1:17" s="1036" customFormat="1" ht="13.5" customHeight="1">
      <c r="A15" s="1037" t="s">
        <v>685</v>
      </c>
      <c r="B15" s="1036">
        <v>105</v>
      </c>
      <c r="C15" s="1039">
        <v>1</v>
      </c>
      <c r="D15" s="1036" t="str">
        <f>(床小梁!E5)</f>
        <v>目視１級</v>
      </c>
      <c r="E15" s="1036" t="str">
        <f>(もや・むな木!E5)</f>
        <v>目視１級</v>
      </c>
      <c r="F15" s="1036" t="str">
        <f>(胴差１_1!E5)</f>
        <v>目視１級</v>
      </c>
      <c r="G15" s="1036" t="str">
        <f>(床小梁!E5)</f>
        <v>目視１級</v>
      </c>
      <c r="H15" s="1036" t="str">
        <f>(もや・むな木!E5)</f>
        <v>目視１級</v>
      </c>
      <c r="I15" s="1036" t="str">
        <f>(胴差１_1!E5)</f>
        <v>目視１級</v>
      </c>
      <c r="J15" s="1036" t="str">
        <f>(床小梁!E5)</f>
        <v>目視１級</v>
      </c>
      <c r="K15" s="1036" t="str">
        <f>(胴差2_1!E5)</f>
        <v>目視１級</v>
      </c>
    </row>
    <row r="16" spans="1:17" s="1036" customFormat="1" ht="13.5" customHeight="1">
      <c r="A16" s="1040" t="s">
        <v>686</v>
      </c>
      <c r="B16" s="1036">
        <v>120</v>
      </c>
      <c r="C16" s="1039">
        <v>1.1499999999999999</v>
      </c>
      <c r="D16" s="1036" t="str">
        <f>(床小梁!C5)</f>
        <v>すぎ</v>
      </c>
      <c r="E16" s="1036" t="str">
        <f>(もや・むな木!C5)</f>
        <v>すぎ</v>
      </c>
      <c r="F16" s="1036" t="str">
        <f>(胴差１_1!C5)</f>
        <v>すぎ</v>
      </c>
      <c r="G16" s="1036" t="str">
        <f>(床小梁!C5)</f>
        <v>すぎ</v>
      </c>
      <c r="H16" s="1036" t="str">
        <f>(もや・むな木!C5)</f>
        <v>すぎ</v>
      </c>
      <c r="I16" s="1036" t="str">
        <f>(胴差１_1!C5)</f>
        <v>すぎ</v>
      </c>
      <c r="J16" s="1036" t="str">
        <f>(床小梁!C5)</f>
        <v>すぎ</v>
      </c>
      <c r="K16" s="1036" t="str">
        <f>(胴差2_1!C5)</f>
        <v>すぎ</v>
      </c>
    </row>
    <row r="17" spans="1:11" s="1036" customFormat="1" ht="13.5" customHeight="1">
      <c r="A17" s="1040" t="s">
        <v>687</v>
      </c>
      <c r="B17" s="1036">
        <v>135</v>
      </c>
      <c r="C17" s="1039">
        <v>1.25</v>
      </c>
      <c r="D17" s="1036">
        <f>INDEX(B2:D10,MATCH(D18,A2:A10,0),MATCH(D19,B1:D1,0))</f>
        <v>35.507599999999996</v>
      </c>
      <c r="E17" s="1036">
        <f>INDEX(B2:D10,MATCH(E18,A2:A10,0),MATCH(E19,B1:D1,0))</f>
        <v>35.507599999999996</v>
      </c>
      <c r="F17" s="1036">
        <f>INDEX(B2:D10,MATCH(F18,A2:A10,0),MATCH(F19,B1:D1,0))</f>
        <v>35.507599999999996</v>
      </c>
      <c r="G17" s="1036">
        <f>INDEX(E2:G10,MATCH(G18,A2:A10,0),MATCH(G19,E1:G1,0))</f>
        <v>1.8</v>
      </c>
      <c r="H17" s="1036">
        <f>INDEX(E2:G10,MATCH(H18,A2:A10,0),MATCH(H19,E1:G1,0))</f>
        <v>1.8</v>
      </c>
      <c r="I17" s="1036">
        <f>INDEX(E2:G10,MATCH(I18,A2:A10,0),MATCH(I19,E1:G1,0))</f>
        <v>1.8</v>
      </c>
      <c r="J17" s="1036">
        <f>INDEX(H2:J10,MATCH(J18,A2:A10,0),MATCH(J19,H1:J1,0))</f>
        <v>7.2972799999999998</v>
      </c>
      <c r="K17" s="1036">
        <f>INDEX(E2:G10,MATCH(K18,A2:A10,0),MATCH(K19,E1:G1,0))</f>
        <v>1.8</v>
      </c>
    </row>
    <row r="18" spans="1:11" s="1036" customFormat="1" ht="13.5" customHeight="1">
      <c r="A18" s="1041" t="s">
        <v>119</v>
      </c>
      <c r="B18" s="1036">
        <v>150</v>
      </c>
      <c r="D18" s="1036" t="str">
        <f>'床大梁（非支持）'!E5</f>
        <v>目視１級</v>
      </c>
      <c r="E18" s="1036" t="str">
        <f>(小屋ばり!E5)</f>
        <v>目視１級</v>
      </c>
      <c r="F18" s="1036" t="str">
        <f>(胴差1_2!E5)</f>
        <v>目視１級</v>
      </c>
      <c r="G18" s="1036" t="str">
        <f>'床大梁（非支持）'!E5</f>
        <v>目視１級</v>
      </c>
      <c r="H18" s="1036" t="str">
        <f>(小屋ばり!E5)</f>
        <v>目視１級</v>
      </c>
      <c r="I18" s="1036" t="str">
        <f>胴差1_2!E5</f>
        <v>目視１級</v>
      </c>
      <c r="J18" s="1036" t="str">
        <f>'床大梁（非支持）'!E5</f>
        <v>目視１級</v>
      </c>
      <c r="K18" s="1036" t="str">
        <f>(胴差2_2!E5)</f>
        <v>目視１級</v>
      </c>
    </row>
    <row r="19" spans="1:11" s="1036" customFormat="1" ht="13.5" customHeight="1">
      <c r="A19" s="1041" t="s">
        <v>118</v>
      </c>
      <c r="B19" s="1036">
        <v>180</v>
      </c>
      <c r="C19" s="1036">
        <f>床小梁!C4</f>
        <v>910</v>
      </c>
      <c r="D19" s="1036" t="str">
        <f>'床大梁（非支持）'!C5</f>
        <v>すぎ</v>
      </c>
      <c r="E19" s="1036" t="str">
        <f>(小屋ばり!C5)</f>
        <v>すぎ</v>
      </c>
      <c r="F19" s="1036" t="str">
        <f>(胴差1_2!C5)</f>
        <v>すぎ</v>
      </c>
      <c r="G19" s="1036" t="str">
        <f>'床大梁（非支持）'!C5</f>
        <v>すぎ</v>
      </c>
      <c r="H19" s="1036" t="str">
        <f>(小屋ばり!C5)</f>
        <v>すぎ</v>
      </c>
      <c r="I19" s="1036" t="str">
        <f>胴差1_2!C5</f>
        <v>すぎ</v>
      </c>
      <c r="J19" s="1036" t="str">
        <f>'床大梁（非支持）'!C5</f>
        <v>すぎ</v>
      </c>
      <c r="K19" s="1036" t="str">
        <f>(胴差2_2!C5)</f>
        <v>すぎ</v>
      </c>
    </row>
    <row r="20" spans="1:11" s="1036" customFormat="1" ht="9">
      <c r="A20" s="1041" t="s">
        <v>688</v>
      </c>
      <c r="B20" s="1036">
        <v>210</v>
      </c>
      <c r="C20" s="1036">
        <f>(C19)/1000*1</f>
        <v>0.91</v>
      </c>
      <c r="D20" s="1036">
        <f>INDEX(H2:J10,MATCH(D21,A2:A10,0),MATCH(D22,H1:J1,0))</f>
        <v>7.2972799999999998</v>
      </c>
      <c r="E20" s="1036">
        <f>INDEX(H2:J10,MATCH(E21,A2:A10,0),MATCH(E22,H1:J1,0))</f>
        <v>7.2972799999999998</v>
      </c>
      <c r="F20" s="1036">
        <f>INDEX(H2:J10,MATCH(F21,A2:A10,0),MATCH(F22,H1:J1,0))</f>
        <v>7.2972799999999998</v>
      </c>
      <c r="G20" s="1036">
        <f>INDEX(H2:J10,MATCH(G21,A2:A10,0),MATCH(G22,H1:J1,0))</f>
        <v>7.2972799999999998</v>
      </c>
      <c r="H20" s="1036">
        <f>INDEX(H2:J10,MATCH(H21,A2:A10,0),MATCH(H22,H1:J1,0))</f>
        <v>7.2972799999999998</v>
      </c>
      <c r="I20" s="1036">
        <f>INDEX(H2:J10,MATCH(I21,A2:A10,0),MATCH(I22,H1:J1,0))</f>
        <v>7.2972799999999998</v>
      </c>
      <c r="J20" s="1036">
        <f>INDEX(H2:J10,MATCH(J21,A2:A10,0),MATCH(J22,H1:J1,0))</f>
        <v>7.2972799999999998</v>
      </c>
      <c r="K20" s="1036">
        <f>INDEX(B2:D10,MATCH(K21,A2:A10,0),MATCH(K22,B1:D1,0))</f>
        <v>35.507599999999996</v>
      </c>
    </row>
    <row r="21" spans="1:11" s="1036" customFormat="1" ht="9">
      <c r="A21" s="1041" t="s">
        <v>689</v>
      </c>
      <c r="B21" s="1036">
        <v>240</v>
      </c>
      <c r="C21" s="1036">
        <f>(C19)/1000*1.5</f>
        <v>1.365</v>
      </c>
      <c r="D21" s="1036" t="str">
        <f>(たるき!E5)</f>
        <v>目視１級</v>
      </c>
      <c r="E21" s="1036" t="str">
        <f>(もや・むな木!E5)</f>
        <v>目視１級</v>
      </c>
      <c r="F21" s="1036" t="str">
        <f>(小屋ばり!E5)</f>
        <v>目視１級</v>
      </c>
      <c r="G21" s="1036" t="str">
        <f>(軒げた!E5)</f>
        <v>目視１級</v>
      </c>
      <c r="H21" s="1036" t="str">
        <f>(胴差１_1!E5)</f>
        <v>目視１級</v>
      </c>
      <c r="I21" s="1036" t="str">
        <f>胴差1_2!E5</f>
        <v>目視１級</v>
      </c>
      <c r="J21" s="1036" t="str">
        <f>胴差2_1!E5</f>
        <v>目視１級</v>
      </c>
      <c r="K21" s="1036" t="str">
        <f>(胴差2_1!E5)</f>
        <v>目視１級</v>
      </c>
    </row>
    <row r="22" spans="1:11" s="1036" customFormat="1" ht="9">
      <c r="A22" s="1041" t="s">
        <v>690</v>
      </c>
      <c r="B22" s="1036">
        <v>270</v>
      </c>
      <c r="C22" s="1036">
        <f>(C19)/1000*2</f>
        <v>1.82</v>
      </c>
      <c r="D22" s="1036" t="str">
        <f>(たるき!C5)</f>
        <v>すぎ</v>
      </c>
      <c r="E22" s="1036" t="str">
        <f>(もや・むな木!C5)</f>
        <v>すぎ</v>
      </c>
      <c r="F22" s="1036" t="str">
        <f>(小屋ばり!C5)</f>
        <v>すぎ</v>
      </c>
      <c r="G22" s="1036" t="str">
        <f>(軒げた!C5)</f>
        <v>すぎ</v>
      </c>
      <c r="H22" s="1036" t="str">
        <f>(胴差１_1!C5)</f>
        <v>すぎ</v>
      </c>
      <c r="I22" s="1036" t="str">
        <f>胴差1_2!C5</f>
        <v>すぎ</v>
      </c>
      <c r="J22" s="1036" t="str">
        <f>胴差2_1!C5</f>
        <v>すぎ</v>
      </c>
      <c r="K22" s="1036" t="str">
        <f>(胴差2_1!C5)</f>
        <v>すぎ</v>
      </c>
    </row>
    <row r="23" spans="1:11" s="1036" customFormat="1" ht="9">
      <c r="A23" s="1041" t="s">
        <v>691</v>
      </c>
      <c r="B23" s="1036">
        <v>300</v>
      </c>
      <c r="E23" s="1041" t="s">
        <v>692</v>
      </c>
      <c r="F23" s="1041" t="s">
        <v>693</v>
      </c>
      <c r="G23" s="1041" t="s">
        <v>694</v>
      </c>
      <c r="H23" s="1036" t="s">
        <v>183</v>
      </c>
      <c r="I23" s="1036">
        <v>50</v>
      </c>
      <c r="J23" s="1036">
        <f>INDEX(H2:J10,MATCH(J24,A2:A10,0),MATCH(J25,H1:J1,0))</f>
        <v>7.2972799999999998</v>
      </c>
      <c r="K23" s="1036">
        <f>INDEX(B2:D10,MATCH(K24,A2:A10,0),MATCH(K25,B1:D1,0))</f>
        <v>35.507599999999996</v>
      </c>
    </row>
    <row r="24" spans="1:11" s="1036" customFormat="1" ht="9">
      <c r="A24" s="1036">
        <f>3*('床大梁（非支持）'!C4)/1000</f>
        <v>2.73</v>
      </c>
      <c r="B24" s="1036">
        <v>330</v>
      </c>
      <c r="C24" s="1036">
        <f>床小梁!C4</f>
        <v>910</v>
      </c>
      <c r="D24" s="1041" t="s">
        <v>688</v>
      </c>
      <c r="E24" s="1036">
        <f>(小屋ばり!C4)*2/1000</f>
        <v>1.82</v>
      </c>
      <c r="F24" s="1036">
        <f>(小屋ばり!C4)/1000</f>
        <v>0.91</v>
      </c>
      <c r="G24" s="1036">
        <v>0</v>
      </c>
      <c r="H24" s="1036" t="s">
        <v>184</v>
      </c>
      <c r="I24" s="1036">
        <v>100</v>
      </c>
      <c r="J24" s="1036" t="str">
        <f>胴差2_2!E5</f>
        <v>目視１級</v>
      </c>
      <c r="K24" s="1036" t="str">
        <f>(胴差2_2!E5)</f>
        <v>目視１級</v>
      </c>
    </row>
    <row r="25" spans="1:11" s="1036" customFormat="1" ht="9">
      <c r="A25" s="1036">
        <f>4*('床大梁（非支持）'!C4)/1000</f>
        <v>3.64</v>
      </c>
      <c r="B25" s="1036">
        <v>360</v>
      </c>
      <c r="C25" s="1036">
        <f>(C24)/1000*3</f>
        <v>2.73</v>
      </c>
      <c r="D25" s="1041" t="s">
        <v>689</v>
      </c>
      <c r="E25" s="1036">
        <f>(小屋ばり!C4)*3/1000</f>
        <v>2.73</v>
      </c>
      <c r="F25" s="1036">
        <f>(小屋ばり!C4)*2/1000</f>
        <v>1.82</v>
      </c>
      <c r="G25" s="1036">
        <v>0</v>
      </c>
      <c r="H25" s="1036" t="s">
        <v>185</v>
      </c>
      <c r="I25" s="1036">
        <v>150</v>
      </c>
      <c r="J25" s="1036" t="str">
        <f>胴差2_2!C5</f>
        <v>すぎ</v>
      </c>
      <c r="K25" s="1036" t="str">
        <f>(胴差2_2!C5)</f>
        <v>すぎ</v>
      </c>
    </row>
    <row r="26" spans="1:11" s="1036" customFormat="1" ht="9">
      <c r="A26" s="1036">
        <f>5*('床大梁（非支持）'!C4)/1000</f>
        <v>4.55</v>
      </c>
      <c r="B26" s="1036">
        <v>390</v>
      </c>
      <c r="C26" s="1036">
        <f>(C24)/1000*4</f>
        <v>3.64</v>
      </c>
      <c r="D26" s="1041" t="s">
        <v>690</v>
      </c>
      <c r="E26" s="1036">
        <f>(小屋ばり!C4)*4/1000</f>
        <v>3.64</v>
      </c>
      <c r="F26" s="1036">
        <f>(小屋ばり!C4)/1000</f>
        <v>0.91</v>
      </c>
      <c r="G26" s="1036">
        <f>(小屋ばり!C4)*3/1000</f>
        <v>2.73</v>
      </c>
      <c r="H26" s="1036" t="s">
        <v>186</v>
      </c>
      <c r="I26" s="1036">
        <v>200</v>
      </c>
    </row>
    <row r="27" spans="1:11" s="1036" customFormat="1" ht="9">
      <c r="C27" s="1036">
        <f>(C24)/1000*5</f>
        <v>4.55</v>
      </c>
      <c r="D27" s="1041" t="s">
        <v>691</v>
      </c>
      <c r="E27" s="1036">
        <f>(小屋ばり!C4)*5/1000</f>
        <v>4.55</v>
      </c>
      <c r="F27" s="1036">
        <f>(小屋ばり!C4)*2/1000</f>
        <v>1.82</v>
      </c>
      <c r="G27" s="1036">
        <v>0</v>
      </c>
      <c r="H27" s="1036" t="s">
        <v>183</v>
      </c>
      <c r="I27" s="1036" t="s">
        <v>184</v>
      </c>
      <c r="J27" s="1036" t="s">
        <v>185</v>
      </c>
      <c r="K27" s="1036" t="s">
        <v>186</v>
      </c>
    </row>
    <row r="28" spans="1:11" s="1036" customFormat="1" ht="9">
      <c r="B28" s="1041" t="s">
        <v>692</v>
      </c>
      <c r="C28" s="1041" t="s">
        <v>693</v>
      </c>
      <c r="D28" s="1041" t="s">
        <v>694</v>
      </c>
      <c r="G28" s="1041" t="s">
        <v>688</v>
      </c>
      <c r="H28" s="1036">
        <f>(小屋ばり!D192)</f>
        <v>469.75837999999999</v>
      </c>
      <c r="I28" s="1036">
        <f>(小屋ばり!D201)</f>
        <v>1002.2266800000001</v>
      </c>
      <c r="J28" s="1036">
        <f>(小屋ばり!D201)</f>
        <v>1002.2266800000001</v>
      </c>
      <c r="K28" s="1036">
        <f>(小屋ばり!D201)</f>
        <v>1002.2266800000001</v>
      </c>
    </row>
    <row r="29" spans="1:11" s="1036" customFormat="1" ht="9">
      <c r="A29" s="1041" t="s">
        <v>688</v>
      </c>
      <c r="B29" s="1036">
        <f>2*('床大梁（非支持）'!C4)/1000</f>
        <v>1.82</v>
      </c>
      <c r="C29" s="1036">
        <f>('床大梁（非支持）'!C4)/1000</f>
        <v>0.91</v>
      </c>
      <c r="D29" s="1036">
        <v>0</v>
      </c>
      <c r="G29" s="1041" t="s">
        <v>689</v>
      </c>
      <c r="H29" s="1036">
        <f>(小屋ばり!D220)</f>
        <v>966.61838</v>
      </c>
      <c r="I29" s="1036">
        <f>(小屋ばり!D230)</f>
        <v>2564.0232800000003</v>
      </c>
      <c r="J29" s="1036">
        <f>(小屋ばり!D230)</f>
        <v>2564.0232800000003</v>
      </c>
      <c r="K29" s="1036">
        <f>(小屋ばり!D230)</f>
        <v>2564.0232800000003</v>
      </c>
    </row>
    <row r="30" spans="1:11" s="1036" customFormat="1" ht="9">
      <c r="A30" s="1041" t="s">
        <v>689</v>
      </c>
      <c r="B30" s="1036">
        <f>3*('床大梁（非支持）'!C4)/1000</f>
        <v>2.73</v>
      </c>
      <c r="C30" s="1036">
        <f>2*('床大梁（非支持）'!C4)/1000</f>
        <v>1.82</v>
      </c>
      <c r="D30" s="1036">
        <v>0</v>
      </c>
      <c r="G30" s="1041" t="s">
        <v>690</v>
      </c>
      <c r="H30" s="1036">
        <f>(小屋ばり!D250)</f>
        <v>966.61838</v>
      </c>
      <c r="I30" s="1036">
        <f>(小屋ばり!D260)</f>
        <v>2564.0232800000003</v>
      </c>
      <c r="J30" s="1036">
        <f>(小屋ばり!D260)</f>
        <v>2564.0232800000003</v>
      </c>
      <c r="K30" s="1036">
        <f>(小屋ばり!D260)</f>
        <v>2564.0232800000003</v>
      </c>
    </row>
    <row r="31" spans="1:11" s="1036" customFormat="1" ht="9">
      <c r="A31" s="1041" t="s">
        <v>690</v>
      </c>
      <c r="B31" s="1036">
        <f>4*('床大梁（非支持）'!C4)/1000</f>
        <v>3.64</v>
      </c>
      <c r="C31" s="1036">
        <f>('床大梁（非支持）'!C4)/1000</f>
        <v>0.91</v>
      </c>
      <c r="D31" s="1036">
        <f>3*('床大梁（非支持）'!C4)/1000</f>
        <v>2.73</v>
      </c>
      <c r="G31" s="1041" t="s">
        <v>691</v>
      </c>
      <c r="H31" s="1036">
        <f>(小屋ばり!D280)</f>
        <v>1215.04838</v>
      </c>
      <c r="I31" s="1036">
        <f>(小屋ばり!D290)</f>
        <v>3344.9215800000002</v>
      </c>
      <c r="J31" s="1036">
        <f>(小屋ばり!D290)</f>
        <v>3344.9215800000002</v>
      </c>
      <c r="K31" s="1036">
        <f>(小屋ばり!D290)</f>
        <v>3344.9215800000002</v>
      </c>
    </row>
    <row r="32" spans="1:11" s="1036" customFormat="1" ht="9">
      <c r="A32" s="1041" t="s">
        <v>691</v>
      </c>
      <c r="B32" s="1036">
        <f>4*('床大梁（非支持）'!C4)/1000</f>
        <v>3.64</v>
      </c>
      <c r="C32" s="1036">
        <f>2*('床大梁（非支持）'!C4)/1000</f>
        <v>1.82</v>
      </c>
      <c r="D32" s="1036">
        <v>0</v>
      </c>
      <c r="F32" s="1036">
        <f>(小屋ばり!S27)</f>
        <v>200</v>
      </c>
    </row>
    <row r="33" spans="1:7" s="1036" customFormat="1" ht="9">
      <c r="A33" s="1036" t="s">
        <v>183</v>
      </c>
      <c r="B33" s="1041" t="s">
        <v>189</v>
      </c>
      <c r="C33" s="1037" t="s">
        <v>187</v>
      </c>
      <c r="D33" s="1036">
        <v>50</v>
      </c>
    </row>
    <row r="34" spans="1:7" s="1036" customFormat="1" ht="9">
      <c r="A34" s="1036" t="s">
        <v>184</v>
      </c>
      <c r="B34" s="1041" t="s">
        <v>190</v>
      </c>
      <c r="C34" s="1042" t="s">
        <v>188</v>
      </c>
      <c r="D34" s="1036">
        <v>100</v>
      </c>
    </row>
    <row r="35" spans="1:7" s="1036" customFormat="1" ht="9">
      <c r="A35" s="1036" t="s">
        <v>185</v>
      </c>
      <c r="B35" s="1042" t="s">
        <v>695</v>
      </c>
      <c r="C35" s="1042" t="s">
        <v>118</v>
      </c>
      <c r="D35" s="1036">
        <v>150</v>
      </c>
      <c r="E35" s="1036">
        <f>(たるき!P12)</f>
        <v>236.94725151391816</v>
      </c>
      <c r="F35" s="1036">
        <f>もや・むな木!O13</f>
        <v>300</v>
      </c>
      <c r="G35" s="1036">
        <f>(小屋ばり!N29)</f>
        <v>300</v>
      </c>
    </row>
    <row r="36" spans="1:7" s="1036" customFormat="1" ht="9">
      <c r="A36" s="1036" t="s">
        <v>186</v>
      </c>
      <c r="B36" s="1042" t="s">
        <v>696</v>
      </c>
      <c r="D36" s="1036">
        <v>200</v>
      </c>
    </row>
    <row r="37" spans="1:7" s="1036" customFormat="1" ht="9">
      <c r="A37" s="1036">
        <v>1</v>
      </c>
      <c r="C37" s="1036" t="s">
        <v>697</v>
      </c>
      <c r="D37" s="1036" t="s">
        <v>698</v>
      </c>
    </row>
    <row r="38" spans="1:7" s="1036" customFormat="1" ht="9">
      <c r="A38" s="1036">
        <v>2</v>
      </c>
      <c r="B38" s="1036" t="s">
        <v>699</v>
      </c>
      <c r="C38" s="1036">
        <f>たるき!D43</f>
        <v>3.7291410553891642</v>
      </c>
      <c r="D38" s="1036">
        <f>たるき!D43</f>
        <v>3.7291410553891642</v>
      </c>
    </row>
    <row r="39" spans="1:7" s="1036" customFormat="1" ht="9">
      <c r="A39" s="1036">
        <v>3</v>
      </c>
      <c r="B39" s="1036" t="s">
        <v>700</v>
      </c>
      <c r="D39" s="1036">
        <f>たるき!D44</f>
        <v>2.2497007959754503</v>
      </c>
    </row>
    <row r="40" spans="1:7" s="1036" customFormat="1" ht="9">
      <c r="A40" s="1036">
        <v>4</v>
      </c>
      <c r="B40" s="1036" t="s">
        <v>701</v>
      </c>
      <c r="C40" s="1036">
        <f>たるき!D45</f>
        <v>2.0807554586349566</v>
      </c>
      <c r="D40" s="1036">
        <f>たるき!D45</f>
        <v>2.0807554586349566</v>
      </c>
    </row>
    <row r="41" spans="1:7" s="1036" customFormat="1" ht="9">
      <c r="A41" s="1036">
        <v>5</v>
      </c>
      <c r="B41" s="1036" t="s">
        <v>702</v>
      </c>
      <c r="C41" s="1036">
        <f>たるき!D62</f>
        <v>15.665934065934065</v>
      </c>
      <c r="D41" s="1036">
        <f>たるき!D62</f>
        <v>15.665934065934065</v>
      </c>
    </row>
    <row r="42" spans="1:7" s="1036" customFormat="1" ht="9">
      <c r="A42" s="1036">
        <v>6</v>
      </c>
      <c r="B42" s="1036" t="s">
        <v>703</v>
      </c>
      <c r="D42" s="1036">
        <f>たるき!D63</f>
        <v>5.701487761958087</v>
      </c>
    </row>
    <row r="43" spans="1:7" s="1036" customFormat="1" ht="9">
      <c r="A43" s="1036">
        <v>7</v>
      </c>
      <c r="B43" s="1036" t="s">
        <v>704</v>
      </c>
      <c r="C43" s="1036">
        <f>たるき!D64</f>
        <v>4.8773144663555614</v>
      </c>
      <c r="D43" s="1036">
        <f>たるき!D64</f>
        <v>4.8773144663555614</v>
      </c>
    </row>
    <row r="44" spans="1:7" s="1036" customFormat="1" ht="9">
      <c r="A44" s="1036">
        <v>8</v>
      </c>
      <c r="B44" s="1036" t="s">
        <v>705</v>
      </c>
      <c r="C44" s="1036">
        <f>たるき!I70</f>
        <v>1.7770765112356159</v>
      </c>
      <c r="D44" s="1036">
        <f>たるき!I70</f>
        <v>1.7770765112356159</v>
      </c>
    </row>
    <row r="45" spans="1:7" s="1036" customFormat="1" ht="9">
      <c r="A45" s="1036">
        <v>9</v>
      </c>
      <c r="B45" s="1036" t="s">
        <v>706</v>
      </c>
      <c r="D45" s="1036">
        <f>たるき!I74</f>
        <v>1.3307589514708886</v>
      </c>
    </row>
    <row r="46" spans="1:7" s="1036" customFormat="1" ht="9">
      <c r="B46" s="1036" t="s">
        <v>707</v>
      </c>
      <c r="C46" s="1036">
        <f>たるき!I78</f>
        <v>1.2168459515560432</v>
      </c>
    </row>
    <row r="47" spans="1:7" s="1036" customFormat="1" ht="9">
      <c r="B47" s="1036" t="s">
        <v>708</v>
      </c>
      <c r="C47" s="1036">
        <f>MIN(C38:C43)</f>
        <v>2.0807554586349566</v>
      </c>
      <c r="D47" s="1036">
        <f>MIN(D38:D43)</f>
        <v>2.0807554586349566</v>
      </c>
    </row>
    <row r="48" spans="1:7" s="1036" customFormat="1" ht="9">
      <c r="B48" s="1036" t="s">
        <v>709</v>
      </c>
      <c r="C48" s="1036">
        <f>MIN(C44:C46)</f>
        <v>1.2168459515560432</v>
      </c>
      <c r="D48" s="1036">
        <f>MIN(D44:D46)</f>
        <v>1.3307589514708886</v>
      </c>
    </row>
    <row r="49" s="1036" customFormat="1" ht="9"/>
  </sheetData>
  <sheetProtection password="EB34" sheet="1" objects="1" scenarios="1" selectLockedCells="1"/>
  <phoneticPr fontId="1"/>
  <dataValidations count="1">
    <dataValidation allowBlank="1" showInputMessage="1" showErrorMessage="1" promptTitle="sei" sqref="B11:B16" xr:uid="{00000000-0002-0000-0E00-000000000000}"/>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P35"/>
  <sheetViews>
    <sheetView showGridLines="0" showRowColHeaders="0" workbookViewId="0">
      <selection activeCell="K36" sqref="K36"/>
    </sheetView>
  </sheetViews>
  <sheetFormatPr defaultRowHeight="13.5"/>
  <cols>
    <col min="1" max="1" width="2.625" customWidth="1"/>
    <col min="2" max="2" width="11.625" style="984" customWidth="1"/>
    <col min="3" max="3" width="3.5" customWidth="1"/>
    <col min="4" max="4" width="4.375" customWidth="1"/>
  </cols>
  <sheetData>
    <row r="3" spans="2:5">
      <c r="B3" s="1161" t="s">
        <v>497</v>
      </c>
      <c r="D3" t="s">
        <v>498</v>
      </c>
      <c r="E3" t="s">
        <v>499</v>
      </c>
    </row>
    <row r="4" spans="2:5">
      <c r="B4" s="1161"/>
      <c r="D4" t="s">
        <v>500</v>
      </c>
      <c r="E4" t="s">
        <v>608</v>
      </c>
    </row>
    <row r="5" spans="2:5">
      <c r="B5" s="1153"/>
      <c r="D5" t="s">
        <v>501</v>
      </c>
      <c r="E5" t="s">
        <v>528</v>
      </c>
    </row>
    <row r="6" spans="2:5">
      <c r="D6" t="s">
        <v>502</v>
      </c>
      <c r="E6" t="s">
        <v>740</v>
      </c>
    </row>
    <row r="9" spans="2:5">
      <c r="B9" s="984" t="s">
        <v>503</v>
      </c>
      <c r="E9" t="s">
        <v>543</v>
      </c>
    </row>
    <row r="10" spans="2:5">
      <c r="E10" t="s">
        <v>504</v>
      </c>
    </row>
    <row r="13" spans="2:5">
      <c r="B13" s="984" t="s">
        <v>505</v>
      </c>
      <c r="D13" t="s">
        <v>498</v>
      </c>
      <c r="E13" t="s">
        <v>506</v>
      </c>
    </row>
    <row r="14" spans="2:5">
      <c r="E14" t="s">
        <v>507</v>
      </c>
    </row>
    <row r="15" spans="2:5">
      <c r="D15" t="s">
        <v>500</v>
      </c>
      <c r="E15" t="s">
        <v>508</v>
      </c>
    </row>
    <row r="16" spans="2:5">
      <c r="E16" t="s">
        <v>509</v>
      </c>
    </row>
    <row r="17" spans="2:16">
      <c r="D17" t="s">
        <v>501</v>
      </c>
      <c r="E17" s="983" t="s">
        <v>510</v>
      </c>
    </row>
    <row r="18" spans="2:16">
      <c r="D18" t="s">
        <v>502</v>
      </c>
      <c r="E18" t="s">
        <v>610</v>
      </c>
    </row>
    <row r="19" spans="2:16">
      <c r="D19" t="s">
        <v>609</v>
      </c>
      <c r="E19" t="s">
        <v>511</v>
      </c>
    </row>
    <row r="20" spans="2:16">
      <c r="B20" s="989"/>
    </row>
    <row r="22" spans="2:16">
      <c r="B22" s="984" t="s">
        <v>512</v>
      </c>
      <c r="D22" t="s">
        <v>498</v>
      </c>
      <c r="E22" t="s">
        <v>513</v>
      </c>
      <c r="M22" t="s">
        <v>514</v>
      </c>
      <c r="P22" t="s">
        <v>515</v>
      </c>
    </row>
    <row r="24" spans="2:16">
      <c r="D24" t="s">
        <v>500</v>
      </c>
      <c r="E24" t="s">
        <v>516</v>
      </c>
      <c r="M24" t="s">
        <v>514</v>
      </c>
      <c r="P24" t="s">
        <v>517</v>
      </c>
    </row>
    <row r="26" spans="2:16">
      <c r="D26" t="s">
        <v>501</v>
      </c>
      <c r="E26" t="s">
        <v>518</v>
      </c>
      <c r="K26" t="s">
        <v>519</v>
      </c>
      <c r="M26" t="s">
        <v>520</v>
      </c>
      <c r="P26" t="s">
        <v>521</v>
      </c>
    </row>
    <row r="28" spans="2:16">
      <c r="D28" t="s">
        <v>502</v>
      </c>
      <c r="E28" t="s">
        <v>522</v>
      </c>
      <c r="M28" t="s">
        <v>514</v>
      </c>
      <c r="P28" t="s">
        <v>523</v>
      </c>
    </row>
    <row r="30" spans="2:16">
      <c r="D30" t="s">
        <v>524</v>
      </c>
      <c r="E30" t="s">
        <v>525</v>
      </c>
      <c r="M30" t="s">
        <v>526</v>
      </c>
      <c r="P30" t="s">
        <v>527</v>
      </c>
    </row>
    <row r="32" spans="2:16" ht="14.25" thickBot="1"/>
    <row r="33" spans="2:8">
      <c r="B33" s="1043" t="s">
        <v>741</v>
      </c>
      <c r="E33" s="1067" t="s">
        <v>530</v>
      </c>
      <c r="F33" s="1162" t="s">
        <v>534</v>
      </c>
      <c r="G33" s="1162"/>
      <c r="H33" s="1068" t="s">
        <v>531</v>
      </c>
    </row>
    <row r="34" spans="2:8" ht="6.75" customHeight="1">
      <c r="E34" s="1069"/>
      <c r="F34" s="1071"/>
      <c r="G34" s="1070"/>
      <c r="H34" s="910"/>
    </row>
    <row r="35" spans="2:8" ht="14.25" thickBot="1">
      <c r="E35" s="1065" t="s">
        <v>532</v>
      </c>
      <c r="F35" s="1163" t="s">
        <v>533</v>
      </c>
      <c r="G35" s="1164"/>
      <c r="H35" s="1066" t="s">
        <v>535</v>
      </c>
    </row>
  </sheetData>
  <sheetProtection password="CB29" sheet="1" objects="1" scenarios="1" selectLockedCells="1"/>
  <mergeCells count="3">
    <mergeCell ref="B3:B5"/>
    <mergeCell ref="F33:G33"/>
    <mergeCell ref="F35:G35"/>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Q46"/>
  <sheetViews>
    <sheetView showGridLines="0" showRowColHeaders="0" zoomScale="130" zoomScaleNormal="130" workbookViewId="0">
      <selection activeCell="I8" sqref="I8"/>
    </sheetView>
  </sheetViews>
  <sheetFormatPr defaultRowHeight="13.5"/>
  <cols>
    <col min="1" max="1" width="1.875" customWidth="1"/>
    <col min="2" max="3" width="8.75" style="1" customWidth="1"/>
    <col min="4" max="5" width="8.75" customWidth="1"/>
    <col min="6" max="6" width="9.875" customWidth="1"/>
    <col min="7" max="7" width="10" customWidth="1"/>
    <col min="8" max="10" width="8.75" customWidth="1"/>
    <col min="11" max="11" width="9.625" bestFit="1" customWidth="1"/>
    <col min="12" max="15" width="8.75" customWidth="1"/>
    <col min="16" max="16" width="9.125" bestFit="1" customWidth="1"/>
  </cols>
  <sheetData>
    <row r="2" spans="2:17" ht="21">
      <c r="B2" s="1165" t="s">
        <v>41</v>
      </c>
      <c r="C2" s="1153"/>
      <c r="D2" s="1153"/>
      <c r="F2" s="974" t="s">
        <v>495</v>
      </c>
      <c r="G2" s="975" t="s">
        <v>496</v>
      </c>
    </row>
    <row r="3" spans="2:17" ht="6" customHeight="1" thickBot="1"/>
    <row r="4" spans="2:17">
      <c r="B4" s="179" t="s">
        <v>0</v>
      </c>
      <c r="C4" s="1072">
        <v>910</v>
      </c>
      <c r="D4" s="78" t="s">
        <v>4</v>
      </c>
      <c r="E4" s="78"/>
      <c r="F4" s="4"/>
      <c r="H4" s="1168" t="s">
        <v>109</v>
      </c>
      <c r="I4" s="1169"/>
      <c r="J4" s="3"/>
      <c r="K4" s="180"/>
      <c r="L4" s="709"/>
      <c r="M4" s="4"/>
    </row>
    <row r="5" spans="2:17">
      <c r="B5" s="108" t="s">
        <v>12</v>
      </c>
      <c r="C5" s="1073" t="s">
        <v>745</v>
      </c>
      <c r="D5" s="80" t="s">
        <v>54</v>
      </c>
      <c r="E5" s="1074" t="s">
        <v>46</v>
      </c>
      <c r="F5" s="6"/>
      <c r="H5" s="42"/>
      <c r="I5" s="2"/>
      <c r="J5" s="2"/>
      <c r="K5" s="2"/>
      <c r="L5" s="2"/>
      <c r="M5" s="6"/>
      <c r="P5" s="1049" t="s">
        <v>46</v>
      </c>
      <c r="Q5" s="1050">
        <v>45</v>
      </c>
    </row>
    <row r="6" spans="2:17" ht="14.25" thickBot="1">
      <c r="B6" s="108" t="s">
        <v>13</v>
      </c>
      <c r="C6" s="81" t="s">
        <v>1</v>
      </c>
      <c r="D6" s="19" t="s">
        <v>2</v>
      </c>
      <c r="E6" s="19"/>
      <c r="F6" s="6"/>
      <c r="H6" s="1172" t="s">
        <v>110</v>
      </c>
      <c r="I6" s="1173"/>
      <c r="J6" s="77"/>
      <c r="K6" s="77"/>
      <c r="L6" s="77"/>
      <c r="M6" s="6"/>
      <c r="P6" s="1051" t="s">
        <v>45</v>
      </c>
      <c r="Q6" s="1050">
        <v>60</v>
      </c>
    </row>
    <row r="7" spans="2:17">
      <c r="B7" s="108"/>
      <c r="C7" s="73">
        <v>45</v>
      </c>
      <c r="D7" s="1074">
        <v>45</v>
      </c>
      <c r="E7" s="19" t="s">
        <v>4</v>
      </c>
      <c r="F7" s="6"/>
      <c r="H7" s="711"/>
      <c r="I7" s="702"/>
      <c r="J7" s="703" t="s">
        <v>114</v>
      </c>
      <c r="K7" s="703" t="s">
        <v>116</v>
      </c>
      <c r="L7" s="704" t="s">
        <v>115</v>
      </c>
      <c r="M7" s="6"/>
      <c r="P7" s="1051" t="s">
        <v>47</v>
      </c>
      <c r="Q7" s="1050">
        <v>75</v>
      </c>
    </row>
    <row r="8" spans="2:17">
      <c r="B8" s="108" t="s">
        <v>3</v>
      </c>
      <c r="C8" s="1075">
        <v>333.33333333333331</v>
      </c>
      <c r="D8" s="19" t="s">
        <v>4</v>
      </c>
      <c r="E8" s="19"/>
      <c r="F8" s="6"/>
      <c r="H8" s="42"/>
      <c r="I8" s="1128" t="s">
        <v>113</v>
      </c>
      <c r="J8" s="1077">
        <v>100</v>
      </c>
      <c r="K8" s="317"/>
      <c r="L8" s="721"/>
      <c r="M8" s="6"/>
      <c r="P8" s="1051" t="s">
        <v>48</v>
      </c>
      <c r="Q8" s="1050">
        <v>90</v>
      </c>
    </row>
    <row r="9" spans="2:17">
      <c r="B9" s="108" t="s">
        <v>455</v>
      </c>
      <c r="C9" s="735">
        <v>250</v>
      </c>
      <c r="D9" s="19"/>
      <c r="E9" s="19"/>
      <c r="F9" s="6"/>
      <c r="H9" s="42"/>
      <c r="I9" s="1128" t="s">
        <v>117</v>
      </c>
      <c r="J9" s="1077">
        <v>100</v>
      </c>
      <c r="K9" s="723"/>
      <c r="L9" s="751"/>
      <c r="M9" s="6"/>
      <c r="P9" s="1051" t="s">
        <v>49</v>
      </c>
      <c r="Q9" s="1050">
        <v>105</v>
      </c>
    </row>
    <row r="10" spans="2:17" ht="14.25" thickBot="1">
      <c r="B10" s="108" t="s">
        <v>5</v>
      </c>
      <c r="C10" s="73">
        <v>2</v>
      </c>
      <c r="D10" s="19"/>
      <c r="E10" s="19"/>
      <c r="F10" s="6"/>
      <c r="H10" s="42"/>
      <c r="I10" s="1129" t="s">
        <v>128</v>
      </c>
      <c r="J10" s="1078">
        <v>100</v>
      </c>
      <c r="K10" s="752">
        <f>SUM(J8:J10)</f>
        <v>300</v>
      </c>
      <c r="L10" s="753">
        <f>+ROUNDUP(K10/5,-1)*5</f>
        <v>300</v>
      </c>
      <c r="M10" s="6"/>
      <c r="P10" s="1051" t="s">
        <v>50</v>
      </c>
      <c r="Q10" s="1050">
        <v>120</v>
      </c>
    </row>
    <row r="11" spans="2:17">
      <c r="B11" s="108" t="s">
        <v>6</v>
      </c>
      <c r="C11" s="1076">
        <v>1</v>
      </c>
      <c r="D11" s="19"/>
      <c r="E11" s="19"/>
      <c r="F11" s="6"/>
      <c r="H11" s="42"/>
      <c r="I11" s="580" t="s">
        <v>111</v>
      </c>
      <c r="J11" s="77" t="s">
        <v>127</v>
      </c>
      <c r="K11" s="77"/>
      <c r="L11" s="77"/>
      <c r="M11" s="6"/>
      <c r="P11" s="1051" t="s">
        <v>51</v>
      </c>
      <c r="Q11" s="1052">
        <v>1</v>
      </c>
    </row>
    <row r="12" spans="2:17" ht="14.25" thickBot="1">
      <c r="B12" s="734" t="s">
        <v>7</v>
      </c>
      <c r="C12" s="82">
        <f>IF(D7&gt;300,(300/D7)^(1/9),1)</f>
        <v>1</v>
      </c>
      <c r="D12" s="83"/>
      <c r="E12" s="83"/>
      <c r="F12" s="15"/>
      <c r="H12" s="42"/>
      <c r="I12" s="2"/>
      <c r="J12" s="2"/>
      <c r="K12" s="2"/>
      <c r="L12" s="2"/>
      <c r="M12" s="6"/>
      <c r="P12" s="1051" t="s">
        <v>52</v>
      </c>
      <c r="Q12" s="1052">
        <v>1.1499999999999999</v>
      </c>
    </row>
    <row r="13" spans="2:17">
      <c r="B13" s="20"/>
      <c r="C13" s="7"/>
      <c r="D13" s="2"/>
      <c r="E13" s="9" t="s">
        <v>28</v>
      </c>
      <c r="F13" s="10" t="s">
        <v>27</v>
      </c>
      <c r="H13" s="1172" t="s">
        <v>120</v>
      </c>
      <c r="I13" s="1174"/>
      <c r="J13" s="77"/>
      <c r="K13" s="77"/>
      <c r="L13" s="77"/>
      <c r="M13" s="6"/>
      <c r="P13" s="1051" t="s">
        <v>53</v>
      </c>
      <c r="Q13" s="1052">
        <v>1.25</v>
      </c>
    </row>
    <row r="14" spans="2:17" ht="14.25" thickBot="1">
      <c r="B14" s="21" t="s">
        <v>8</v>
      </c>
      <c r="C14" s="720">
        <f>(L19)</f>
        <v>2100</v>
      </c>
      <c r="D14" s="8" t="s">
        <v>25</v>
      </c>
      <c r="E14" s="85">
        <f>C8/1000</f>
        <v>0.33333333333333331</v>
      </c>
      <c r="F14" s="86">
        <f>(C14)*(E14)</f>
        <v>700</v>
      </c>
      <c r="H14" s="42"/>
      <c r="I14" s="674"/>
      <c r="J14" s="684"/>
      <c r="K14" s="684"/>
      <c r="L14" s="28" t="s">
        <v>450</v>
      </c>
      <c r="M14" s="6"/>
      <c r="P14" s="1053">
        <v>910</v>
      </c>
      <c r="Q14" s="1054"/>
    </row>
    <row r="15" spans="2:17">
      <c r="B15" s="21" t="s">
        <v>29</v>
      </c>
      <c r="C15" s="720">
        <f>(L20)</f>
        <v>900</v>
      </c>
      <c r="D15" s="8" t="s">
        <v>26</v>
      </c>
      <c r="E15" s="85">
        <f>C8/1000</f>
        <v>0.33333333333333331</v>
      </c>
      <c r="F15" s="86">
        <f>(C15)*(E15)</f>
        <v>300</v>
      </c>
      <c r="H15" s="711"/>
      <c r="I15" s="706" t="s">
        <v>453</v>
      </c>
      <c r="J15" s="1079">
        <v>1800</v>
      </c>
      <c r="K15" s="51"/>
      <c r="L15" s="28" t="s">
        <v>451</v>
      </c>
      <c r="M15" s="685">
        <v>1800</v>
      </c>
      <c r="P15" s="1053">
        <v>950</v>
      </c>
      <c r="Q15" s="1054"/>
    </row>
    <row r="16" spans="2:17" ht="14.25" thickBot="1">
      <c r="B16" s="21"/>
      <c r="C16" s="84"/>
      <c r="D16" s="2"/>
      <c r="E16" s="2"/>
      <c r="F16" s="6"/>
      <c r="H16" s="711"/>
      <c r="I16" s="708" t="s">
        <v>122</v>
      </c>
      <c r="J16" s="1080">
        <v>600</v>
      </c>
      <c r="K16" s="51" t="s">
        <v>121</v>
      </c>
      <c r="L16" s="28" t="s">
        <v>452</v>
      </c>
      <c r="M16" s="685">
        <v>600</v>
      </c>
      <c r="P16" s="1053">
        <v>1000</v>
      </c>
      <c r="Q16" s="1054"/>
    </row>
    <row r="17" spans="2:17" ht="14.25" thickBot="1">
      <c r="B17" s="732" t="s">
        <v>15</v>
      </c>
      <c r="C17" s="733">
        <f>(C7)*(D7)</f>
        <v>2025</v>
      </c>
      <c r="D17" s="459" t="s">
        <v>11</v>
      </c>
      <c r="E17" s="2"/>
      <c r="F17" s="6"/>
      <c r="H17" s="711"/>
      <c r="I17" s="77"/>
      <c r="J17" s="51"/>
      <c r="K17" s="77"/>
      <c r="L17" s="77"/>
      <c r="M17" s="34"/>
      <c r="P17" s="1053">
        <v>985</v>
      </c>
      <c r="Q17" s="1054"/>
    </row>
    <row r="18" spans="2:17">
      <c r="B18" s="732" t="s">
        <v>14</v>
      </c>
      <c r="C18" s="733">
        <f>((C7)*(D7)*(D7))/6</f>
        <v>15187.5</v>
      </c>
      <c r="D18" s="726" t="s">
        <v>38</v>
      </c>
      <c r="E18" s="2"/>
      <c r="F18" s="6"/>
      <c r="H18" s="716"/>
      <c r="I18" s="180"/>
      <c r="J18" s="630" t="s">
        <v>124</v>
      </c>
      <c r="K18" s="755" t="s">
        <v>126</v>
      </c>
      <c r="L18" s="180"/>
      <c r="M18" s="193"/>
      <c r="P18" s="1053" t="s">
        <v>307</v>
      </c>
      <c r="Q18" s="1054"/>
    </row>
    <row r="19" spans="2:17">
      <c r="B19" s="732" t="s">
        <v>10</v>
      </c>
      <c r="C19" s="733">
        <f>((C7)*(D7)*(D7)*(D7))/12</f>
        <v>341718.75</v>
      </c>
      <c r="D19" s="726" t="s">
        <v>39</v>
      </c>
      <c r="E19" s="2"/>
      <c r="F19" s="6"/>
      <c r="H19" s="712" t="s">
        <v>312</v>
      </c>
      <c r="I19" s="674" t="s">
        <v>123</v>
      </c>
      <c r="J19" s="77">
        <f>L10</f>
        <v>300</v>
      </c>
      <c r="K19" s="100">
        <f>J15</f>
        <v>1800</v>
      </c>
      <c r="L19" s="718">
        <f>(J19)+(K19)</f>
        <v>2100</v>
      </c>
      <c r="M19" s="50" t="s">
        <v>121</v>
      </c>
      <c r="P19" s="1055" t="s">
        <v>712</v>
      </c>
      <c r="Q19" s="1054"/>
    </row>
    <row r="20" spans="2:17" ht="14.25" thickBot="1">
      <c r="B20" s="310"/>
      <c r="C20" s="7"/>
      <c r="D20" s="2"/>
      <c r="E20" s="2"/>
      <c r="F20" s="6"/>
      <c r="H20" s="713"/>
      <c r="I20" s="639" t="s">
        <v>125</v>
      </c>
      <c r="J20" s="191">
        <f>L10</f>
        <v>300</v>
      </c>
      <c r="K20" s="714">
        <f>J16</f>
        <v>600</v>
      </c>
      <c r="L20" s="719">
        <f>(J20)+(K20)</f>
        <v>900</v>
      </c>
      <c r="M20" s="715" t="s">
        <v>121</v>
      </c>
      <c r="P20" s="1055" t="s">
        <v>714</v>
      </c>
      <c r="Q20" s="1054"/>
    </row>
    <row r="21" spans="2:17" ht="14.25" thickTop="1">
      <c r="B21" s="1170" t="s">
        <v>42</v>
      </c>
      <c r="C21" s="1171"/>
      <c r="D21" s="1171"/>
      <c r="E21" s="739"/>
      <c r="F21" s="740"/>
      <c r="P21" s="1054">
        <f>(C4)/3</f>
        <v>303.33333333333331</v>
      </c>
      <c r="Q21" s="1054"/>
    </row>
    <row r="22" spans="2:17">
      <c r="B22" s="1166" t="s">
        <v>44</v>
      </c>
      <c r="C22" s="1167"/>
      <c r="D22" s="91">
        <f>MIN(D31,D38)</f>
        <v>1.503264818415476</v>
      </c>
      <c r="E22" s="91" t="s">
        <v>77</v>
      </c>
      <c r="F22" s="741"/>
      <c r="P22" s="1054">
        <f>(C4)/2</f>
        <v>455</v>
      </c>
      <c r="Q22" s="1054"/>
    </row>
    <row r="23" spans="2:17">
      <c r="B23" s="1166" t="s">
        <v>43</v>
      </c>
      <c r="C23" s="1167"/>
      <c r="D23" s="91">
        <f>(I43)</f>
        <v>1.08484225694895</v>
      </c>
      <c r="E23" s="689" t="s">
        <v>77</v>
      </c>
      <c r="F23" s="741"/>
    </row>
    <row r="24" spans="2:17" ht="7.5" customHeight="1" thickBot="1">
      <c r="B24" s="742"/>
      <c r="C24" s="743"/>
      <c r="D24" s="744"/>
      <c r="E24" s="744"/>
      <c r="F24" s="745"/>
    </row>
    <row r="25" spans="2:17" ht="6.75" customHeight="1" thickTop="1" thickBot="1"/>
    <row r="26" spans="2:17">
      <c r="B26" s="642" t="s">
        <v>330</v>
      </c>
      <c r="C26" s="24"/>
      <c r="D26" s="659"/>
      <c r="E26" s="660"/>
      <c r="F26" s="660"/>
      <c r="G26" s="660"/>
      <c r="H26" s="660"/>
      <c r="I26" s="660"/>
      <c r="J26" s="660"/>
      <c r="K26" s="4"/>
    </row>
    <row r="27" spans="2:17">
      <c r="B27" s="338" t="s">
        <v>221</v>
      </c>
      <c r="C27" s="60" t="s">
        <v>536</v>
      </c>
      <c r="D27" s="88">
        <f>(F14)</f>
        <v>700</v>
      </c>
      <c r="E27" s="90" t="s">
        <v>60</v>
      </c>
      <c r="F27" s="90" t="s">
        <v>22</v>
      </c>
      <c r="G27" s="90">
        <f>(D27)/8</f>
        <v>87.5</v>
      </c>
      <c r="H27" s="90" t="s">
        <v>58</v>
      </c>
      <c r="I27" s="90" t="s">
        <v>19</v>
      </c>
      <c r="J27" s="90"/>
      <c r="K27" s="89"/>
    </row>
    <row r="28" spans="2:17">
      <c r="B28" s="11"/>
      <c r="C28" s="60"/>
      <c r="D28" s="90" t="s">
        <v>18</v>
      </c>
      <c r="E28" s="90"/>
      <c r="F28" s="90"/>
      <c r="G28" s="90"/>
      <c r="H28" s="90"/>
      <c r="I28" s="90"/>
      <c r="J28" s="90"/>
      <c r="K28" s="89"/>
    </row>
    <row r="29" spans="2:17">
      <c r="B29" s="11" t="s">
        <v>9</v>
      </c>
      <c r="C29" s="60" t="s">
        <v>710</v>
      </c>
      <c r="D29" s="661" t="s">
        <v>313</v>
      </c>
      <c r="E29" s="90" t="s">
        <v>21</v>
      </c>
      <c r="F29" s="109" t="s">
        <v>34</v>
      </c>
      <c r="G29" s="662">
        <f>$C$11</f>
        <v>1</v>
      </c>
      <c r="H29" s="663">
        <f>($C$12)</f>
        <v>1</v>
      </c>
      <c r="I29" s="90">
        <f>(1.1*(data!D11)/3)*(G29)*(H29)/((G27)*1000/(C18))</f>
        <v>2.2598051142857138</v>
      </c>
      <c r="J29" s="664" t="s">
        <v>59</v>
      </c>
      <c r="K29" s="89" t="s">
        <v>20</v>
      </c>
    </row>
    <row r="30" spans="2:17">
      <c r="B30" s="11"/>
      <c r="C30" s="81"/>
      <c r="D30" s="90"/>
      <c r="E30" s="90"/>
      <c r="F30" s="90"/>
      <c r="G30" s="109" t="s">
        <v>16</v>
      </c>
      <c r="H30" s="109" t="s">
        <v>17</v>
      </c>
      <c r="I30" s="90"/>
      <c r="J30" s="90"/>
      <c r="K30" s="89"/>
    </row>
    <row r="31" spans="2:17">
      <c r="B31" s="11" t="s">
        <v>23</v>
      </c>
      <c r="C31" s="60" t="s">
        <v>24</v>
      </c>
      <c r="D31" s="88">
        <f>SQRT(I29)</f>
        <v>1.503264818415476</v>
      </c>
      <c r="E31" s="35" t="s">
        <v>233</v>
      </c>
      <c r="F31" s="90"/>
      <c r="G31" s="90"/>
      <c r="H31" s="90"/>
      <c r="I31" s="90"/>
      <c r="J31" s="90"/>
      <c r="K31" s="89"/>
    </row>
    <row r="32" spans="2:17" ht="14.25" thickBot="1">
      <c r="B32" s="12"/>
      <c r="C32" s="13"/>
      <c r="D32" s="665"/>
      <c r="E32" s="665"/>
      <c r="F32" s="665"/>
      <c r="G32" s="665"/>
      <c r="H32" s="665"/>
      <c r="I32" s="665"/>
      <c r="J32" s="665"/>
      <c r="K32" s="15"/>
    </row>
    <row r="33" spans="2:11">
      <c r="B33" s="642" t="s">
        <v>321</v>
      </c>
      <c r="C33" s="627"/>
      <c r="D33" s="666"/>
      <c r="E33" s="660"/>
      <c r="F33" s="660"/>
      <c r="G33" s="660"/>
      <c r="H33" s="660"/>
      <c r="I33" s="660"/>
      <c r="J33" s="660"/>
      <c r="K33" s="4"/>
    </row>
    <row r="34" spans="2:11">
      <c r="B34" s="338" t="s">
        <v>221</v>
      </c>
      <c r="C34" s="60" t="s">
        <v>537</v>
      </c>
      <c r="D34" s="88">
        <f>(F14)</f>
        <v>700</v>
      </c>
      <c r="E34" s="90" t="s">
        <v>30</v>
      </c>
      <c r="F34" s="90">
        <f>(D34)/2</f>
        <v>350</v>
      </c>
      <c r="G34" s="667" t="s">
        <v>62</v>
      </c>
      <c r="H34" s="90" t="s">
        <v>31</v>
      </c>
      <c r="I34" s="39"/>
      <c r="J34" s="39"/>
      <c r="K34" s="6"/>
    </row>
    <row r="35" spans="2:11">
      <c r="B35" s="11"/>
      <c r="C35" s="81"/>
      <c r="D35" s="90" t="s">
        <v>18</v>
      </c>
      <c r="E35" s="90"/>
      <c r="F35" s="90"/>
      <c r="G35" s="90"/>
      <c r="H35" s="90"/>
      <c r="I35" s="39"/>
      <c r="J35" s="39"/>
      <c r="K35" s="6"/>
    </row>
    <row r="36" spans="2:11">
      <c r="B36" s="11" t="s">
        <v>33</v>
      </c>
      <c r="C36" s="60" t="s">
        <v>538</v>
      </c>
      <c r="D36" s="668" t="s">
        <v>32</v>
      </c>
      <c r="E36" s="90">
        <f>(F34)</f>
        <v>350</v>
      </c>
      <c r="F36" s="90" t="s">
        <v>63</v>
      </c>
      <c r="G36" s="90" t="s">
        <v>35</v>
      </c>
      <c r="H36" s="109" t="s">
        <v>36</v>
      </c>
      <c r="I36" s="39"/>
      <c r="J36" s="39"/>
      <c r="K36" s="6"/>
    </row>
    <row r="37" spans="2:11">
      <c r="B37" s="11"/>
      <c r="C37" s="81"/>
      <c r="D37" s="90"/>
      <c r="E37" s="90"/>
      <c r="F37" s="667"/>
      <c r="G37" s="667"/>
      <c r="H37" s="90"/>
      <c r="I37" s="39"/>
      <c r="J37" s="39"/>
      <c r="K37" s="6"/>
    </row>
    <row r="38" spans="2:11">
      <c r="B38" s="11"/>
      <c r="C38" s="60" t="s">
        <v>61</v>
      </c>
      <c r="D38" s="88">
        <f>(C17)*(1.1*(data!G11)/3)/(1.5*(E36))</f>
        <v>2.5457142857142858</v>
      </c>
      <c r="E38" s="35" t="s">
        <v>233</v>
      </c>
      <c r="F38" s="667"/>
      <c r="G38" s="667"/>
      <c r="H38" s="90"/>
      <c r="I38" s="39"/>
      <c r="J38" s="39"/>
      <c r="K38" s="6"/>
    </row>
    <row r="39" spans="2:11" ht="14.25" thickBot="1">
      <c r="B39" s="12"/>
      <c r="C39" s="13"/>
      <c r="D39" s="665"/>
      <c r="E39" s="665"/>
      <c r="F39" s="665"/>
      <c r="G39" s="665"/>
      <c r="H39" s="665"/>
      <c r="I39" s="665"/>
      <c r="J39" s="665"/>
      <c r="K39" s="15"/>
    </row>
    <row r="40" spans="2:11">
      <c r="B40" s="642" t="s">
        <v>122</v>
      </c>
      <c r="C40" s="627"/>
      <c r="D40" s="666"/>
      <c r="E40" s="660"/>
      <c r="F40" s="660"/>
      <c r="G40" s="660"/>
      <c r="H40" s="660"/>
      <c r="I40" s="660"/>
      <c r="J40" s="660"/>
      <c r="K40" s="4"/>
    </row>
    <row r="41" spans="2:11">
      <c r="B41" s="11"/>
      <c r="C41" s="60" t="s">
        <v>64</v>
      </c>
      <c r="D41" s="669">
        <f>(F15)</f>
        <v>300</v>
      </c>
      <c r="E41" s="109" t="s">
        <v>65</v>
      </c>
      <c r="F41" s="90">
        <f>(data!J11)*1000</f>
        <v>7297.28</v>
      </c>
      <c r="G41" s="670">
        <f>(C19)</f>
        <v>341718.75</v>
      </c>
      <c r="H41" s="671">
        <v>1000000000</v>
      </c>
      <c r="I41" s="149">
        <v>2</v>
      </c>
      <c r="J41" s="88">
        <f>(5*(D41)*(H41)*(I41))/(384*(F41)*(G41))</f>
        <v>3.1329986709268232</v>
      </c>
      <c r="K41" s="95" t="s">
        <v>70</v>
      </c>
    </row>
    <row r="42" spans="2:11">
      <c r="B42" s="11"/>
      <c r="C42" s="81"/>
      <c r="D42" s="131" t="s">
        <v>71</v>
      </c>
      <c r="E42" s="90"/>
      <c r="F42" s="90" t="s">
        <v>37</v>
      </c>
      <c r="G42" s="152" t="s">
        <v>40</v>
      </c>
      <c r="H42" s="90"/>
      <c r="I42" s="109" t="s">
        <v>66</v>
      </c>
      <c r="J42" s="667"/>
      <c r="K42" s="89"/>
    </row>
    <row r="43" spans="2:11">
      <c r="B43" s="11"/>
      <c r="C43" s="96"/>
      <c r="D43" s="667"/>
      <c r="E43" s="667"/>
      <c r="F43" s="672" t="s">
        <v>68</v>
      </c>
      <c r="G43" s="90" t="s">
        <v>69</v>
      </c>
      <c r="H43" s="668" t="s">
        <v>67</v>
      </c>
      <c r="I43" s="88">
        <f>POWER(1/(J41)/0.25,(1/3))</f>
        <v>1.08484225694895</v>
      </c>
      <c r="J43" s="35" t="s">
        <v>233</v>
      </c>
      <c r="K43" s="89"/>
    </row>
    <row r="44" spans="2:11" ht="5.25" customHeight="1">
      <c r="B44" s="11"/>
      <c r="D44" s="673"/>
      <c r="E44" s="673"/>
      <c r="F44" s="673"/>
      <c r="G44" s="39"/>
      <c r="H44" s="39"/>
      <c r="I44" s="39"/>
      <c r="J44" s="39"/>
      <c r="K44" s="6"/>
    </row>
    <row r="45" spans="2:11" ht="5.25" customHeight="1">
      <c r="B45" s="11"/>
      <c r="D45" s="673"/>
      <c r="E45" s="673"/>
      <c r="F45" s="673"/>
      <c r="G45" s="39"/>
      <c r="H45" s="39"/>
      <c r="I45" s="39"/>
      <c r="J45" s="39"/>
      <c r="K45" s="6"/>
    </row>
    <row r="46" spans="2:11" ht="5.25" customHeight="1" thickBot="1">
      <c r="B46" s="12"/>
      <c r="C46" s="13"/>
      <c r="D46" s="665"/>
      <c r="E46" s="665"/>
      <c r="F46" s="665"/>
      <c r="G46" s="665"/>
      <c r="H46" s="665"/>
      <c r="I46" s="665"/>
      <c r="J46" s="665"/>
      <c r="K46" s="15"/>
    </row>
  </sheetData>
  <sheetProtection password="EAF2" sheet="1" objects="1" scenarios="1" selectLockedCells="1"/>
  <mergeCells count="7">
    <mergeCell ref="B2:D2"/>
    <mergeCell ref="B22:C22"/>
    <mergeCell ref="B23:C23"/>
    <mergeCell ref="H4:I4"/>
    <mergeCell ref="B21:D21"/>
    <mergeCell ref="H6:I6"/>
    <mergeCell ref="H13:I13"/>
  </mergeCells>
  <phoneticPr fontId="1"/>
  <dataValidations count="7">
    <dataValidation type="list" allowBlank="1" showInputMessage="1" showErrorMessage="1" sqref="C4" xr:uid="{00000000-0002-0000-0200-000000000000}">
      <formula1>$P$14:$P$17</formula1>
    </dataValidation>
    <dataValidation type="list" allowBlank="1" showInputMessage="1" showErrorMessage="1" sqref="C5" xr:uid="{00000000-0002-0000-0200-000001000000}">
      <formula1>$P$18:$P$20</formula1>
    </dataValidation>
    <dataValidation type="list" allowBlank="1" showInputMessage="1" showErrorMessage="1" sqref="C8" xr:uid="{00000000-0002-0000-0200-000002000000}">
      <formula1>$P$21:$P$22</formula1>
    </dataValidation>
    <dataValidation allowBlank="1" showInputMessage="1" showErrorMessage="1" promptTitle="sei" sqref="Q5:Q10" xr:uid="{00000000-0002-0000-0200-000003000000}"/>
    <dataValidation type="list" allowBlank="1" showInputMessage="1" showErrorMessage="1" sqref="D7" xr:uid="{00000000-0002-0000-0200-000004000000}">
      <formula1>$Q$5:$Q$10</formula1>
    </dataValidation>
    <dataValidation type="list" allowBlank="1" showInputMessage="1" showErrorMessage="1" sqref="E5" xr:uid="{00000000-0002-0000-0200-000005000000}">
      <formula1>$P$5:$P$13</formula1>
    </dataValidation>
    <dataValidation type="list" allowBlank="1" showInputMessage="1" showErrorMessage="1" sqref="C11" xr:uid="{00000000-0002-0000-0200-000006000000}">
      <formula1>$Q$11:$Q$13</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200-000007000000}">
          <x14:formula1>
            <xm:f>data!$B$11:$B$16</xm:f>
          </x14:formula1>
          <xm:sqref>D7</xm:sqref>
        </x14:dataValidation>
        <x14:dataValidation type="list" allowBlank="1" showInputMessage="1" showErrorMessage="1" xr:uid="{00000000-0002-0000-0200-000008000000}">
          <x14:formula1>
            <xm:f>data!$C$12:$C$13</xm:f>
          </x14:formula1>
          <xm:sqref>C8</xm:sqref>
        </x14:dataValidation>
        <x14:dataValidation type="list" allowBlank="1" showInputMessage="1" showErrorMessage="1" xr:uid="{00000000-0002-0000-0200-000009000000}">
          <x14:formula1>
            <xm:f>data!$A$11:$A$14</xm:f>
          </x14:formula1>
          <xm:sqref>C4</xm:sqref>
        </x14:dataValidation>
        <x14:dataValidation type="list" allowBlank="1" showInputMessage="1" showErrorMessage="1" xr:uid="{00000000-0002-0000-0200-00000A000000}">
          <x14:formula1>
            <xm:f>data!$C$15:$C$17</xm:f>
          </x14:formula1>
          <xm:sqref>C11</xm:sqref>
        </x14:dataValidation>
        <x14:dataValidation type="list" allowBlank="1" showInputMessage="1" showErrorMessage="1" xr:uid="{00000000-0002-0000-0200-00000B000000}">
          <x14:formula1>
            <xm:f>data!$A$15:$A$17</xm:f>
          </x14:formula1>
          <xm:sqref>C5</xm:sqref>
        </x14:dataValidation>
        <x14:dataValidation type="list" allowBlank="1" showInputMessage="1" showErrorMessage="1" xr:uid="{00000000-0002-0000-0200-00000C000000}">
          <x14:formula1>
            <xm:f>data!$A$2:$A$10</xm:f>
          </x14:formula1>
          <xm:sqref>E5</xm:sqref>
        </x14:dataValidation>
        <x14:dataValidation type="list" allowBlank="1" showInputMessage="1" showErrorMessage="1" xr:uid="{00000000-0002-0000-0200-00000D000000}">
          <x14:formula1>
            <xm:f>data!$A$18:$A$19</xm:f>
          </x14:formula1>
          <xm:sqref>L4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D51"/>
  <sheetViews>
    <sheetView showGridLines="0" showRowColHeaders="0" zoomScale="130" zoomScaleNormal="130" workbookViewId="0">
      <selection activeCell="K7" sqref="K7"/>
    </sheetView>
  </sheetViews>
  <sheetFormatPr defaultRowHeight="13.5"/>
  <cols>
    <col min="1" max="1" width="1.875" customWidth="1"/>
    <col min="2" max="3" width="8.75" style="1" customWidth="1"/>
    <col min="4" max="4" width="10.125" customWidth="1"/>
    <col min="5" max="5" width="8.75" customWidth="1"/>
    <col min="6" max="6" width="10.375" customWidth="1"/>
    <col min="7" max="7" width="9.75" customWidth="1"/>
    <col min="8" max="15" width="8.75" customWidth="1"/>
    <col min="16" max="16" width="8.875" customWidth="1"/>
  </cols>
  <sheetData>
    <row r="2" spans="2:20" ht="21.75" thickBot="1">
      <c r="B2" s="1165" t="s">
        <v>72</v>
      </c>
      <c r="C2" s="1153"/>
      <c r="D2" s="1153"/>
      <c r="G2" s="974" t="s">
        <v>495</v>
      </c>
      <c r="H2" s="975" t="s">
        <v>496</v>
      </c>
      <c r="L2" s="2"/>
      <c r="M2" s="77"/>
      <c r="N2" s="472"/>
      <c r="O2" s="2"/>
    </row>
    <row r="3" spans="2:20" ht="14.25" thickBot="1">
      <c r="J3" s="1168" t="s">
        <v>109</v>
      </c>
      <c r="K3" s="1183"/>
      <c r="L3" s="3"/>
      <c r="M3" s="3"/>
      <c r="N3" s="3"/>
      <c r="O3" s="4"/>
      <c r="R3" s="1044" t="s">
        <v>46</v>
      </c>
      <c r="S3" s="1018">
        <v>45</v>
      </c>
      <c r="T3" s="1020">
        <v>1</v>
      </c>
    </row>
    <row r="4" spans="2:20">
      <c r="B4" s="179" t="s">
        <v>0</v>
      </c>
      <c r="C4" s="1072">
        <v>910</v>
      </c>
      <c r="D4" s="78" t="s">
        <v>4</v>
      </c>
      <c r="E4" s="78"/>
      <c r="F4" s="78"/>
      <c r="G4" s="101"/>
      <c r="J4" s="1172" t="s">
        <v>110</v>
      </c>
      <c r="K4" s="1167"/>
      <c r="L4" s="2"/>
      <c r="M4" s="2"/>
      <c r="N4" s="2"/>
      <c r="O4" s="6"/>
      <c r="R4" s="1045" t="s">
        <v>45</v>
      </c>
      <c r="S4" s="1018">
        <v>60</v>
      </c>
      <c r="T4" s="1020">
        <v>1.1499999999999999</v>
      </c>
    </row>
    <row r="5" spans="2:20" ht="14.25" thickBot="1">
      <c r="B5" s="108" t="s">
        <v>12</v>
      </c>
      <c r="C5" s="1073" t="s">
        <v>745</v>
      </c>
      <c r="D5" s="80" t="s">
        <v>54</v>
      </c>
      <c r="E5" s="1074" t="s">
        <v>46</v>
      </c>
      <c r="F5" s="19"/>
      <c r="G5" s="89"/>
      <c r="J5" s="711"/>
      <c r="K5" s="77"/>
      <c r="L5" s="77"/>
      <c r="M5" s="77"/>
      <c r="N5" s="77"/>
      <c r="O5" s="34"/>
      <c r="R5" s="1045" t="s">
        <v>47</v>
      </c>
      <c r="S5" s="1018">
        <v>75</v>
      </c>
      <c r="T5" s="1020">
        <v>1.25</v>
      </c>
    </row>
    <row r="6" spans="2:20">
      <c r="B6" s="108" t="s">
        <v>13</v>
      </c>
      <c r="C6" s="81" t="s">
        <v>78</v>
      </c>
      <c r="D6" s="96" t="s">
        <v>79</v>
      </c>
      <c r="E6" s="92"/>
      <c r="F6" s="92"/>
      <c r="G6" s="89"/>
      <c r="J6" s="711"/>
      <c r="K6" s="722"/>
      <c r="L6" s="606" t="s">
        <v>114</v>
      </c>
      <c r="M6" s="606" t="s">
        <v>116</v>
      </c>
      <c r="N6" s="704" t="s">
        <v>115</v>
      </c>
      <c r="O6" s="34"/>
      <c r="R6" s="1045" t="s">
        <v>48</v>
      </c>
      <c r="S6" s="1018">
        <v>90</v>
      </c>
      <c r="T6" s="1046">
        <f>C4</f>
        <v>910</v>
      </c>
    </row>
    <row r="7" spans="2:20">
      <c r="B7" s="108"/>
      <c r="C7" s="1081">
        <v>120</v>
      </c>
      <c r="D7" s="1074">
        <v>105</v>
      </c>
      <c r="E7" s="92"/>
      <c r="F7" s="92"/>
      <c r="G7" s="89"/>
      <c r="J7" s="711"/>
      <c r="K7" s="1130" t="s">
        <v>113</v>
      </c>
      <c r="L7" s="1077">
        <v>100</v>
      </c>
      <c r="M7" s="317"/>
      <c r="N7" s="721"/>
      <c r="O7" s="34"/>
      <c r="R7" s="1045" t="s">
        <v>49</v>
      </c>
      <c r="S7" s="1018">
        <v>105</v>
      </c>
      <c r="T7" s="1046">
        <f>(T6)/1000*1</f>
        <v>0.91</v>
      </c>
    </row>
    <row r="8" spans="2:20">
      <c r="B8" s="469" t="s">
        <v>80</v>
      </c>
      <c r="C8" s="130">
        <f>(F8)*1000</f>
        <v>910</v>
      </c>
      <c r="D8" s="92" t="s">
        <v>4</v>
      </c>
      <c r="E8" s="73" t="s">
        <v>75</v>
      </c>
      <c r="F8" s="1082">
        <v>0.91</v>
      </c>
      <c r="G8" s="89" t="s">
        <v>77</v>
      </c>
      <c r="J8" s="711"/>
      <c r="K8" s="1130" t="s">
        <v>117</v>
      </c>
      <c r="L8" s="1077">
        <v>100</v>
      </c>
      <c r="M8" s="723"/>
      <c r="N8" s="724"/>
      <c r="O8" s="34"/>
      <c r="R8" s="1045" t="s">
        <v>50</v>
      </c>
      <c r="S8" s="1018">
        <v>120</v>
      </c>
      <c r="T8" s="1046">
        <f>(T6)/1000*1.5</f>
        <v>1.365</v>
      </c>
    </row>
    <row r="9" spans="2:20">
      <c r="B9" s="108" t="s">
        <v>455</v>
      </c>
      <c r="C9" s="735">
        <v>250</v>
      </c>
      <c r="D9" s="19"/>
      <c r="E9" s="81" t="s">
        <v>76</v>
      </c>
      <c r="F9" s="1083">
        <v>2.73</v>
      </c>
      <c r="G9" s="89" t="s">
        <v>77</v>
      </c>
      <c r="J9" s="711"/>
      <c r="K9" s="1131" t="s">
        <v>128</v>
      </c>
      <c r="L9" s="1077">
        <v>100</v>
      </c>
      <c r="M9" s="723"/>
      <c r="N9" s="724"/>
      <c r="O9" s="34"/>
      <c r="R9" s="1045" t="s">
        <v>51</v>
      </c>
      <c r="S9" s="1046">
        <v>135</v>
      </c>
      <c r="T9" s="1046">
        <f>(T6)/1000*2</f>
        <v>1.82</v>
      </c>
    </row>
    <row r="10" spans="2:20">
      <c r="B10" s="108" t="s">
        <v>5</v>
      </c>
      <c r="C10" s="73">
        <v>2</v>
      </c>
      <c r="D10" s="19"/>
      <c r="E10" s="689" t="s">
        <v>454</v>
      </c>
      <c r="F10" s="1084">
        <v>0.4</v>
      </c>
      <c r="G10" s="89"/>
      <c r="J10" s="711"/>
      <c r="K10" s="1132" t="s">
        <v>130</v>
      </c>
      <c r="L10" s="1077">
        <v>100</v>
      </c>
      <c r="M10" s="723"/>
      <c r="N10" s="724"/>
      <c r="O10" s="34"/>
      <c r="R10" s="1045" t="s">
        <v>52</v>
      </c>
      <c r="S10" s="1046">
        <v>150</v>
      </c>
      <c r="T10" s="1046">
        <f>C4</f>
        <v>910</v>
      </c>
    </row>
    <row r="11" spans="2:20" ht="14.25" thickBot="1">
      <c r="B11" s="310" t="s">
        <v>107</v>
      </c>
      <c r="C11" s="27" t="s">
        <v>108</v>
      </c>
      <c r="D11" s="2"/>
      <c r="E11" s="675"/>
      <c r="F11" s="676"/>
      <c r="G11" s="677"/>
      <c r="J11" s="711"/>
      <c r="K11" s="1133" t="s">
        <v>129</v>
      </c>
      <c r="L11" s="1078">
        <v>100</v>
      </c>
      <c r="M11" s="752">
        <f>SUM(L7:L11)</f>
        <v>500</v>
      </c>
      <c r="N11" s="754">
        <f>+ROUNDUP(M11/5,-1)*5</f>
        <v>500</v>
      </c>
      <c r="O11" s="34"/>
      <c r="R11" s="1045" t="s">
        <v>53</v>
      </c>
      <c r="S11" s="1046">
        <v>180</v>
      </c>
      <c r="T11" s="1046">
        <f>(T10)/1000*3</f>
        <v>2.73</v>
      </c>
    </row>
    <row r="12" spans="2:20" ht="13.5" customHeight="1" thickBot="1">
      <c r="B12" s="736" t="s">
        <v>7</v>
      </c>
      <c r="C12" s="115">
        <f>IF(C28&gt;300,(300/C28)^(1/9),1)</f>
        <v>1</v>
      </c>
      <c r="D12" s="22"/>
      <c r="E12" s="14"/>
      <c r="F12" s="14"/>
      <c r="G12" s="15"/>
      <c r="J12" s="711"/>
      <c r="K12" s="580" t="s">
        <v>111</v>
      </c>
      <c r="L12" s="77" t="s">
        <v>127</v>
      </c>
      <c r="M12" s="77"/>
      <c r="N12" s="77"/>
      <c r="O12" s="34"/>
      <c r="R12" s="1047">
        <v>910</v>
      </c>
      <c r="S12" s="1046">
        <v>210</v>
      </c>
      <c r="T12" s="1046">
        <f>(T10)/1000*4</f>
        <v>3.64</v>
      </c>
    </row>
    <row r="13" spans="2:20" ht="13.5" customHeight="1">
      <c r="B13" s="21"/>
      <c r="C13" s="7"/>
      <c r="D13" s="2"/>
      <c r="E13" s="9" t="s">
        <v>81</v>
      </c>
      <c r="F13" s="25" t="s">
        <v>101</v>
      </c>
      <c r="G13" s="24" t="s">
        <v>100</v>
      </c>
      <c r="H13" s="26" t="s">
        <v>27</v>
      </c>
      <c r="J13" s="711"/>
      <c r="K13" s="77"/>
      <c r="L13" s="77"/>
      <c r="M13" s="77"/>
      <c r="N13" s="77"/>
      <c r="O13" s="34"/>
      <c r="R13" s="1047">
        <v>950</v>
      </c>
      <c r="S13" s="1046">
        <v>240</v>
      </c>
      <c r="T13" s="1046">
        <f>(T10)/1000*5</f>
        <v>4.55</v>
      </c>
    </row>
    <row r="14" spans="2:20" ht="13.5" customHeight="1">
      <c r="B14" s="1181" t="s">
        <v>84</v>
      </c>
      <c r="C14" s="109">
        <v>2600</v>
      </c>
      <c r="D14" s="73" t="s">
        <v>86</v>
      </c>
      <c r="E14" s="104">
        <f>C8/1000</f>
        <v>0.91</v>
      </c>
      <c r="F14" s="105">
        <f>(C14)*(E14)</f>
        <v>2366</v>
      </c>
      <c r="G14" s="106">
        <f>(F14)</f>
        <v>2366</v>
      </c>
      <c r="H14" s="10" t="s">
        <v>82</v>
      </c>
      <c r="J14" s="1172" t="s">
        <v>120</v>
      </c>
      <c r="K14" s="1174"/>
      <c r="L14" s="77"/>
      <c r="M14" s="77"/>
      <c r="N14" s="77"/>
      <c r="O14" s="6"/>
      <c r="R14" s="1047">
        <v>1000</v>
      </c>
      <c r="S14" s="1046">
        <v>270</v>
      </c>
      <c r="T14" s="1046"/>
    </row>
    <row r="15" spans="2:20" ht="13.5" customHeight="1" thickBot="1">
      <c r="B15" s="1181"/>
      <c r="C15" s="96"/>
      <c r="D15" s="92"/>
      <c r="E15" s="92"/>
      <c r="F15" s="107">
        <f>+($C$7)*(C28)*($F$10)*9.8/1000</f>
        <v>49.392000000000003</v>
      </c>
      <c r="G15" s="106">
        <f>+($C$7)*(C28)*($F$10)*9.8/1000</f>
        <v>49.392000000000003</v>
      </c>
      <c r="H15" s="10" t="s">
        <v>83</v>
      </c>
      <c r="J15" s="42"/>
      <c r="K15" s="674"/>
      <c r="L15" s="684"/>
      <c r="M15" s="684"/>
      <c r="N15" s="28" t="s">
        <v>450</v>
      </c>
      <c r="O15" s="6"/>
      <c r="R15" s="1047">
        <v>985</v>
      </c>
      <c r="S15" s="1046">
        <v>300</v>
      </c>
      <c r="T15" s="1046"/>
    </row>
    <row r="16" spans="2:20" ht="13.5" customHeight="1">
      <c r="B16" s="108"/>
      <c r="C16" s="109"/>
      <c r="D16" s="73"/>
      <c r="E16" s="110" t="s">
        <v>85</v>
      </c>
      <c r="F16" s="111">
        <f>(F14)+(F15)</f>
        <v>2415.3919999999998</v>
      </c>
      <c r="G16" s="112">
        <f>(G14)+(G15)</f>
        <v>2415.3919999999998</v>
      </c>
      <c r="H16" s="89"/>
      <c r="J16" s="711"/>
      <c r="K16" s="706" t="s">
        <v>453</v>
      </c>
      <c r="L16" s="1079">
        <v>1800</v>
      </c>
      <c r="M16" s="51"/>
      <c r="N16" s="28" t="s">
        <v>458</v>
      </c>
      <c r="O16" s="685">
        <v>1800</v>
      </c>
      <c r="R16" s="1047" t="s">
        <v>711</v>
      </c>
      <c r="S16" s="1046">
        <v>330</v>
      </c>
      <c r="T16" s="1046"/>
    </row>
    <row r="17" spans="2:20" ht="13.5" customHeight="1" thickBot="1">
      <c r="B17" s="108"/>
      <c r="C17" s="109"/>
      <c r="D17" s="73"/>
      <c r="E17" s="104"/>
      <c r="F17" s="113"/>
      <c r="G17" s="19"/>
      <c r="H17" s="89"/>
      <c r="J17" s="711"/>
      <c r="K17" s="708" t="s">
        <v>122</v>
      </c>
      <c r="L17" s="1080">
        <v>600</v>
      </c>
      <c r="M17" s="51" t="s">
        <v>121</v>
      </c>
      <c r="N17" s="28" t="s">
        <v>452</v>
      </c>
      <c r="O17" s="685">
        <v>600</v>
      </c>
      <c r="R17" s="1048" t="s">
        <v>712</v>
      </c>
      <c r="S17" s="1046">
        <v>360</v>
      </c>
      <c r="T17" s="1046"/>
    </row>
    <row r="18" spans="2:20" ht="13.5" customHeight="1" thickBot="1">
      <c r="B18" s="1182" t="s">
        <v>390</v>
      </c>
      <c r="C18" s="109">
        <v>1400</v>
      </c>
      <c r="D18" s="73" t="s">
        <v>87</v>
      </c>
      <c r="E18" s="104">
        <f>C8/1000</f>
        <v>0.91</v>
      </c>
      <c r="F18" s="105">
        <f>(C18)*(E18)</f>
        <v>1274</v>
      </c>
      <c r="G18" s="73" t="s">
        <v>82</v>
      </c>
      <c r="H18" s="89"/>
      <c r="J18" s="711"/>
      <c r="K18" s="77"/>
      <c r="L18" s="77"/>
      <c r="M18" s="77"/>
      <c r="N18" s="77"/>
      <c r="O18" s="34"/>
      <c r="R18" s="1048" t="s">
        <v>713</v>
      </c>
      <c r="S18" s="1046">
        <v>390</v>
      </c>
      <c r="T18" s="1046"/>
    </row>
    <row r="19" spans="2:20" ht="13.5" customHeight="1">
      <c r="B19" s="1182"/>
      <c r="C19" s="109"/>
      <c r="D19" s="73"/>
      <c r="E19" s="104"/>
      <c r="F19" s="105">
        <f>($C$7)*(E28)*($F$10)*9.8/1000</f>
        <v>49.392000000000003</v>
      </c>
      <c r="G19" s="73" t="s">
        <v>83</v>
      </c>
      <c r="H19" s="89"/>
      <c r="J19" s="716"/>
      <c r="K19" s="180"/>
      <c r="L19" s="630" t="s">
        <v>124</v>
      </c>
      <c r="M19" s="755" t="s">
        <v>126</v>
      </c>
      <c r="N19" s="180"/>
      <c r="O19" s="193"/>
    </row>
    <row r="20" spans="2:20" ht="13.5" customHeight="1">
      <c r="B20" s="108"/>
      <c r="C20" s="109"/>
      <c r="D20" s="73"/>
      <c r="E20" s="104" t="s">
        <v>85</v>
      </c>
      <c r="F20" s="105">
        <f>(F18)+(F19)</f>
        <v>1323.3920000000001</v>
      </c>
      <c r="G20" s="19"/>
      <c r="H20" s="89"/>
      <c r="J20" s="712" t="s">
        <v>131</v>
      </c>
      <c r="K20" s="674" t="s">
        <v>123</v>
      </c>
      <c r="L20" s="77">
        <f>N11</f>
        <v>500</v>
      </c>
      <c r="M20" s="100">
        <f>L16</f>
        <v>1800</v>
      </c>
      <c r="N20" s="718">
        <f>(L20)+(M20)</f>
        <v>2300</v>
      </c>
      <c r="O20" s="50" t="s">
        <v>299</v>
      </c>
    </row>
    <row r="21" spans="2:20" ht="13.5" customHeight="1" thickBot="1">
      <c r="B21" s="731"/>
      <c r="C21" s="593" t="s">
        <v>101</v>
      </c>
      <c r="D21" s="593" t="s">
        <v>100</v>
      </c>
      <c r="E21" s="593" t="s">
        <v>102</v>
      </c>
      <c r="F21" s="726"/>
      <c r="G21" s="19"/>
      <c r="H21" s="89"/>
      <c r="J21" s="713"/>
      <c r="K21" s="639" t="s">
        <v>125</v>
      </c>
      <c r="L21" s="191">
        <f>N11</f>
        <v>500</v>
      </c>
      <c r="M21" s="714">
        <f>L17</f>
        <v>600</v>
      </c>
      <c r="N21" s="719">
        <f>(L21)+(M21)</f>
        <v>1100</v>
      </c>
      <c r="O21" s="715" t="s">
        <v>299</v>
      </c>
    </row>
    <row r="22" spans="2:20" ht="13.5" customHeight="1">
      <c r="B22" s="731" t="s">
        <v>15</v>
      </c>
      <c r="C22" s="846"/>
      <c r="D22" s="728">
        <f>(B28)*(C28)</f>
        <v>12600</v>
      </c>
      <c r="E22" s="845"/>
      <c r="F22" s="726" t="s">
        <v>11</v>
      </c>
      <c r="G22" s="19"/>
      <c r="H22" s="89"/>
    </row>
    <row r="23" spans="2:20" ht="13.5" customHeight="1">
      <c r="B23" s="731" t="s">
        <v>14</v>
      </c>
      <c r="C23" s="730">
        <f>((B28)*(C28)^2)/6</f>
        <v>220500</v>
      </c>
      <c r="D23" s="845"/>
      <c r="E23" s="845"/>
      <c r="F23" s="726" t="s">
        <v>38</v>
      </c>
      <c r="G23" s="19"/>
      <c r="H23" s="89"/>
    </row>
    <row r="24" spans="2:20" ht="13.5" customHeight="1">
      <c r="B24" s="731" t="s">
        <v>10</v>
      </c>
      <c r="C24" s="846"/>
      <c r="D24" s="845"/>
      <c r="E24" s="730">
        <f>((D28)*(E28)^3)/12</f>
        <v>11576250</v>
      </c>
      <c r="F24" s="726" t="s">
        <v>39</v>
      </c>
      <c r="G24" s="19"/>
      <c r="H24" s="89"/>
    </row>
    <row r="25" spans="2:20" ht="13.5" customHeight="1" thickBot="1">
      <c r="B25" s="310"/>
      <c r="C25" s="7"/>
      <c r="D25" s="2"/>
      <c r="E25" s="2"/>
      <c r="F25" s="2"/>
      <c r="G25" s="2"/>
      <c r="H25" s="15"/>
    </row>
    <row r="26" spans="2:20" ht="13.5" customHeight="1" thickTop="1" thickBot="1">
      <c r="B26" s="1170" t="s">
        <v>73</v>
      </c>
      <c r="C26" s="1171"/>
      <c r="D26" s="1184"/>
      <c r="E26" s="1185"/>
      <c r="F26" s="1187" t="s">
        <v>74</v>
      </c>
      <c r="G26" s="1188"/>
    </row>
    <row r="27" spans="2:20" ht="13.5" customHeight="1" thickTop="1" thickBot="1">
      <c r="B27" s="1186" t="s">
        <v>44</v>
      </c>
      <c r="C27" s="1186"/>
      <c r="D27" s="1186" t="s">
        <v>43</v>
      </c>
      <c r="E27" s="1187"/>
      <c r="F27" s="1189"/>
      <c r="G27" s="1188"/>
      <c r="H27" s="628" t="s">
        <v>445</v>
      </c>
    </row>
    <row r="28" spans="2:20" ht="13.5" customHeight="1" thickTop="1" thickBot="1">
      <c r="B28" s="748">
        <f>(C7)</f>
        <v>120</v>
      </c>
      <c r="C28" s="749">
        <f>$D$7</f>
        <v>105</v>
      </c>
      <c r="D28" s="746">
        <f>(C7)</f>
        <v>120</v>
      </c>
      <c r="E28" s="747">
        <f>$D$7</f>
        <v>105</v>
      </c>
      <c r="F28" s="1190">
        <f>G39</f>
        <v>3297.0100799999996</v>
      </c>
      <c r="G28" s="1191"/>
      <c r="H28" s="738" t="s">
        <v>231</v>
      </c>
      <c r="I28" s="637" t="str">
        <f>(K37)</f>
        <v>◯</v>
      </c>
      <c r="J28" s="1175" t="s">
        <v>44</v>
      </c>
      <c r="K28" s="1176"/>
    </row>
    <row r="29" spans="2:20" ht="13.5" customHeight="1" thickTop="1" thickBot="1">
      <c r="B29" s="580"/>
      <c r="C29" s="737"/>
      <c r="D29" s="737"/>
      <c r="E29" s="2"/>
      <c r="F29" s="129"/>
      <c r="G29" s="23"/>
      <c r="H29" s="621" t="s">
        <v>321</v>
      </c>
      <c r="I29" s="623" t="str">
        <f>(K44)</f>
        <v>◯</v>
      </c>
      <c r="J29" s="1177"/>
      <c r="K29" s="1178"/>
    </row>
    <row r="30" spans="2:20" ht="13.5" customHeight="1" thickBot="1">
      <c r="H30" s="622" t="s">
        <v>343</v>
      </c>
      <c r="I30" s="625" t="str">
        <f>(K51)</f>
        <v>×</v>
      </c>
      <c r="J30" s="1179" t="s">
        <v>43</v>
      </c>
      <c r="K30" s="1180"/>
    </row>
    <row r="31" spans="2:20">
      <c r="B31" s="629" t="s">
        <v>330</v>
      </c>
      <c r="C31" s="630"/>
      <c r="D31" s="116"/>
      <c r="E31" s="78"/>
      <c r="F31" s="78"/>
      <c r="G31" s="78"/>
      <c r="H31" s="78"/>
      <c r="I31" s="78"/>
      <c r="J31" s="78"/>
      <c r="K31" s="101"/>
    </row>
    <row r="32" spans="2:20">
      <c r="B32" s="992" t="s">
        <v>221</v>
      </c>
      <c r="C32" s="117" t="s">
        <v>539</v>
      </c>
      <c r="D32" s="88">
        <f>(F16)</f>
        <v>2415.3919999999998</v>
      </c>
      <c r="E32" s="118">
        <f>(F9)</f>
        <v>2.73</v>
      </c>
      <c r="F32" s="19" t="s">
        <v>88</v>
      </c>
      <c r="G32" s="92">
        <f>((D32)*(E32)*(E32))/8</f>
        <v>2250.2093795999995</v>
      </c>
      <c r="H32" s="19" t="s">
        <v>91</v>
      </c>
      <c r="I32" s="92"/>
      <c r="J32" s="92"/>
      <c r="K32" s="89"/>
    </row>
    <row r="33" spans="2:30">
      <c r="B33" s="103"/>
      <c r="C33" s="117"/>
      <c r="D33" s="463" t="s">
        <v>18</v>
      </c>
      <c r="E33" s="890" t="s">
        <v>92</v>
      </c>
      <c r="F33" s="19"/>
      <c r="G33" s="19"/>
      <c r="H33" s="19"/>
      <c r="I33" s="19"/>
      <c r="J33" s="19"/>
      <c r="K33" s="89"/>
    </row>
    <row r="34" spans="2:30">
      <c r="B34" s="103" t="s">
        <v>9</v>
      </c>
      <c r="C34" s="117" t="s">
        <v>710</v>
      </c>
      <c r="D34" s="117" t="s">
        <v>590</v>
      </c>
      <c r="E34" s="19" t="s">
        <v>21</v>
      </c>
      <c r="F34" s="92">
        <f>((G32)*1000)/(C23)</f>
        <v>10.205031199999999</v>
      </c>
      <c r="G34" s="19" t="s">
        <v>93</v>
      </c>
      <c r="H34" s="92"/>
      <c r="I34" s="92"/>
      <c r="J34" s="92"/>
      <c r="K34" s="89"/>
    </row>
    <row r="35" spans="2:30">
      <c r="B35" s="103"/>
      <c r="C35" s="81"/>
      <c r="D35" s="19"/>
      <c r="E35" s="19"/>
      <c r="F35" s="19"/>
      <c r="G35" s="81"/>
      <c r="H35" s="92"/>
      <c r="I35" s="19"/>
      <c r="J35" s="19"/>
      <c r="K35" s="89"/>
    </row>
    <row r="36" spans="2:30" ht="14.25" thickBot="1">
      <c r="B36" s="103"/>
      <c r="C36" s="1017" t="s">
        <v>94</v>
      </c>
      <c r="D36" s="92" t="s">
        <v>89</v>
      </c>
      <c r="E36" s="119">
        <f>C12</f>
        <v>1</v>
      </c>
      <c r="F36" s="19">
        <f>1.1*(data!D14)/3</f>
        <v>13.019453333333333</v>
      </c>
      <c r="G36" s="120">
        <f>C12</f>
        <v>1</v>
      </c>
      <c r="H36" s="92">
        <f>(F36)*(G36)</f>
        <v>13.019453333333333</v>
      </c>
      <c r="I36" s="92"/>
      <c r="J36" s="19"/>
      <c r="K36" s="89"/>
    </row>
    <row r="37" spans="2:30" ht="14.25" thickBot="1">
      <c r="B37" s="121"/>
      <c r="C37" s="122"/>
      <c r="D37" s="83"/>
      <c r="E37" s="81" t="s">
        <v>17</v>
      </c>
      <c r="F37" s="83"/>
      <c r="G37" s="81" t="s">
        <v>17</v>
      </c>
      <c r="H37" s="83"/>
      <c r="I37" s="83"/>
      <c r="J37" s="128" t="s">
        <v>316</v>
      </c>
      <c r="K37" s="619" t="str">
        <f>IF(F34&lt;=H36,"◯","×")</f>
        <v>◯</v>
      </c>
    </row>
    <row r="38" spans="2:30">
      <c r="B38" s="643" t="s">
        <v>321</v>
      </c>
      <c r="C38" s="630"/>
      <c r="D38" s="74"/>
      <c r="E38" s="78"/>
      <c r="F38" s="78"/>
      <c r="G38" s="78"/>
      <c r="H38" s="78"/>
      <c r="I38" s="78"/>
      <c r="J38" s="78"/>
      <c r="K38" s="101"/>
    </row>
    <row r="39" spans="2:30">
      <c r="B39" s="992" t="s">
        <v>221</v>
      </c>
      <c r="C39" s="117" t="s">
        <v>541</v>
      </c>
      <c r="D39" s="88">
        <f>(G16)</f>
        <v>2415.3919999999998</v>
      </c>
      <c r="E39" s="118">
        <f>(F9)</f>
        <v>2.73</v>
      </c>
      <c r="F39" s="114" t="s">
        <v>95</v>
      </c>
      <c r="G39" s="92">
        <f>(D39)*(E39)/2</f>
        <v>3297.0100799999996</v>
      </c>
      <c r="H39" s="19" t="s">
        <v>31</v>
      </c>
      <c r="I39" s="19"/>
      <c r="J39" s="19"/>
      <c r="K39" s="89"/>
    </row>
    <row r="40" spans="2:30">
      <c r="B40" s="103"/>
      <c r="C40" s="81"/>
      <c r="D40" s="463" t="s">
        <v>18</v>
      </c>
      <c r="E40" s="890" t="s">
        <v>92</v>
      </c>
      <c r="F40" s="19"/>
      <c r="G40" s="19"/>
      <c r="H40" s="19"/>
      <c r="I40" s="19"/>
      <c r="J40" s="19"/>
      <c r="K40" s="89"/>
    </row>
    <row r="41" spans="2:30">
      <c r="B41" s="103" t="s">
        <v>33</v>
      </c>
      <c r="C41" s="117" t="s">
        <v>542</v>
      </c>
      <c r="D41" s="93" t="s">
        <v>32</v>
      </c>
      <c r="E41" s="92">
        <f>(G39)</f>
        <v>3297.0100799999996</v>
      </c>
      <c r="F41" s="123">
        <f>(D22)</f>
        <v>12600</v>
      </c>
      <c r="G41" s="19">
        <f>1.5*(E41)/(F41)</f>
        <v>0.39250119999999994</v>
      </c>
      <c r="H41" s="81" t="s">
        <v>36</v>
      </c>
      <c r="I41" s="19"/>
      <c r="J41" s="19"/>
      <c r="K41" s="89"/>
      <c r="AC41" s="18" t="s">
        <v>67</v>
      </c>
      <c r="AD41" s="16" t="e">
        <f>POWER(1/(#REF!)/0.25,(1/3))</f>
        <v>#REF!</v>
      </c>
    </row>
    <row r="42" spans="2:30">
      <c r="B42" s="103"/>
      <c r="C42" s="81"/>
      <c r="D42" s="19"/>
      <c r="E42" s="19"/>
      <c r="F42" s="552" t="s">
        <v>315</v>
      </c>
      <c r="G42" s="92"/>
      <c r="H42" s="19"/>
      <c r="I42" s="19"/>
      <c r="J42" s="19"/>
      <c r="K42" s="89"/>
    </row>
    <row r="43" spans="2:30" ht="14.25" thickBot="1">
      <c r="B43" s="103"/>
      <c r="C43" s="1017" t="s">
        <v>97</v>
      </c>
      <c r="D43" s="92" t="s">
        <v>98</v>
      </c>
      <c r="E43" s="19" t="s">
        <v>99</v>
      </c>
      <c r="F43" s="92">
        <f>1.1*(data!G14)/3</f>
        <v>0.66</v>
      </c>
      <c r="G43" s="92"/>
      <c r="H43" s="19"/>
      <c r="I43" s="19"/>
      <c r="J43" s="19"/>
      <c r="K43" s="89"/>
    </row>
    <row r="44" spans="2:30" ht="14.25" thickBot="1">
      <c r="B44" s="121"/>
      <c r="C44" s="122"/>
      <c r="D44" s="83"/>
      <c r="E44" s="83"/>
      <c r="F44" s="83"/>
      <c r="G44" s="83"/>
      <c r="H44" s="83"/>
      <c r="I44" s="83"/>
      <c r="J44" s="128" t="s">
        <v>316</v>
      </c>
      <c r="K44" s="619" t="str">
        <f>IF(G41&lt;=F43,"◯","×")</f>
        <v>◯</v>
      </c>
    </row>
    <row r="45" spans="2:30">
      <c r="B45" s="644" t="s">
        <v>122</v>
      </c>
      <c r="C45" s="631"/>
      <c r="D45" s="127"/>
      <c r="E45" s="78"/>
      <c r="F45" s="78"/>
      <c r="G45" s="78"/>
      <c r="H45" s="78"/>
      <c r="I45" s="78"/>
      <c r="J45" s="78"/>
      <c r="K45" s="101"/>
    </row>
    <row r="46" spans="2:30">
      <c r="B46" s="103"/>
      <c r="C46" s="117" t="s">
        <v>64</v>
      </c>
      <c r="D46" s="94">
        <f>F20</f>
        <v>1323.3920000000001</v>
      </c>
      <c r="E46" s="118">
        <f>(F9)</f>
        <v>2.73</v>
      </c>
      <c r="F46" s="92" t="s">
        <v>163</v>
      </c>
      <c r="G46" s="92">
        <f>(data!J14)</f>
        <v>7.2972799999999998</v>
      </c>
      <c r="H46" s="124">
        <f>E24</f>
        <v>11576250</v>
      </c>
      <c r="I46" s="96" t="s">
        <v>105</v>
      </c>
      <c r="J46" s="125">
        <f>(5*(D46)*(E46)^4)/(384*1000*(G46)*(H46))*1000000000*2</f>
        <v>22.660994266356774</v>
      </c>
      <c r="K46" s="95" t="s">
        <v>104</v>
      </c>
    </row>
    <row r="47" spans="2:30">
      <c r="B47" s="103"/>
      <c r="C47" s="81"/>
      <c r="D47" s="27" t="s">
        <v>71</v>
      </c>
      <c r="E47" s="890" t="s">
        <v>92</v>
      </c>
      <c r="F47" s="92"/>
      <c r="G47" s="19" t="s">
        <v>37</v>
      </c>
      <c r="H47" s="73" t="s">
        <v>40</v>
      </c>
      <c r="I47" s="81" t="s">
        <v>66</v>
      </c>
      <c r="J47" s="92"/>
      <c r="K47" s="89"/>
    </row>
    <row r="48" spans="2:30">
      <c r="B48" s="103"/>
      <c r="C48" s="96"/>
      <c r="D48" s="92"/>
      <c r="E48" s="92"/>
      <c r="F48" s="92"/>
      <c r="G48" s="92"/>
      <c r="H48" s="92"/>
      <c r="I48" s="92"/>
      <c r="J48" s="19"/>
      <c r="K48" s="89"/>
    </row>
    <row r="49" spans="2:11">
      <c r="B49" s="103"/>
      <c r="C49" s="1017" t="s">
        <v>97</v>
      </c>
      <c r="D49" s="97" t="s">
        <v>68</v>
      </c>
      <c r="E49" s="92">
        <f>1000*(F9)/250</f>
        <v>10.92</v>
      </c>
      <c r="F49" s="92" t="s">
        <v>106</v>
      </c>
      <c r="G49" s="19"/>
      <c r="H49" s="19"/>
      <c r="I49" s="19"/>
      <c r="J49" s="19"/>
      <c r="K49" s="89"/>
    </row>
    <row r="50" spans="2:11" ht="14.25" thickBot="1">
      <c r="B50" s="103"/>
      <c r="C50" s="96"/>
      <c r="D50" s="92"/>
      <c r="E50" s="92"/>
      <c r="F50" s="92"/>
      <c r="G50" s="19"/>
      <c r="H50" s="19"/>
      <c r="I50" s="19"/>
      <c r="J50" s="19"/>
      <c r="K50" s="89"/>
    </row>
    <row r="51" spans="2:11" ht="14.25" thickBot="1">
      <c r="B51" s="121"/>
      <c r="C51" s="122"/>
      <c r="D51" s="83"/>
      <c r="E51" s="83"/>
      <c r="F51" s="83"/>
      <c r="G51" s="83"/>
      <c r="H51" s="83"/>
      <c r="I51" s="83"/>
      <c r="J51" s="128" t="s">
        <v>316</v>
      </c>
      <c r="K51" s="619" t="str">
        <f>IF(J46&lt;=E49,"◯","×")</f>
        <v>×</v>
      </c>
    </row>
  </sheetData>
  <sheetProtection password="DBE7" sheet="1" objects="1" scenarios="1" selectLockedCells="1"/>
  <mergeCells count="13">
    <mergeCell ref="J28:K29"/>
    <mergeCell ref="J30:K30"/>
    <mergeCell ref="B2:D2"/>
    <mergeCell ref="B14:B15"/>
    <mergeCell ref="B18:B19"/>
    <mergeCell ref="J3:K3"/>
    <mergeCell ref="J4:K4"/>
    <mergeCell ref="B26:E26"/>
    <mergeCell ref="D27:E27"/>
    <mergeCell ref="F26:G27"/>
    <mergeCell ref="F28:G28"/>
    <mergeCell ref="B27:C27"/>
    <mergeCell ref="J14:K14"/>
  </mergeCells>
  <phoneticPr fontId="1"/>
  <dataValidations count="8">
    <dataValidation allowBlank="1" showInputMessage="1" showErrorMessage="1" promptTitle="sei" sqref="S3:S8" xr:uid="{00000000-0002-0000-0300-000000000000}"/>
    <dataValidation type="list" allowBlank="1" showInputMessage="1" showErrorMessage="1" sqref="C4" xr:uid="{00000000-0002-0000-0300-000001000000}">
      <formula1>$R$12:$R$15</formula1>
    </dataValidation>
    <dataValidation type="list" allowBlank="1" showInputMessage="1" showErrorMessage="1" sqref="C5" xr:uid="{00000000-0002-0000-0300-000002000000}">
      <formula1>$R$16:$R$18</formula1>
    </dataValidation>
    <dataValidation type="list" allowBlank="1" showInputMessage="1" showErrorMessage="1" sqref="E5" xr:uid="{00000000-0002-0000-0300-000003000000}">
      <formula1>$R$3:$R$11</formula1>
    </dataValidation>
    <dataValidation type="list" allowBlank="1" showInputMessage="1" showErrorMessage="1" sqref="C7" xr:uid="{00000000-0002-0000-0300-000004000000}">
      <formula1>$S$7:$S$8</formula1>
    </dataValidation>
    <dataValidation type="list" allowBlank="1" showInputMessage="1" showErrorMessage="1" sqref="D7" xr:uid="{00000000-0002-0000-0300-000005000000}">
      <formula1>$S$7:$S$18</formula1>
    </dataValidation>
    <dataValidation type="list" allowBlank="1" showInputMessage="1" showErrorMessage="1" sqref="F8" xr:uid="{00000000-0002-0000-0300-000006000000}">
      <formula1>$T$7:$T$9</formula1>
    </dataValidation>
    <dataValidation type="list" allowBlank="1" showInputMessage="1" showErrorMessage="1" sqref="F9" xr:uid="{00000000-0002-0000-0300-000007000000}">
      <formula1>$T$11:$T$13</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300-000008000000}">
          <x14:formula1>
            <xm:f>data!$C$20:$C$22</xm:f>
          </x14:formula1>
          <xm:sqref>F8</xm:sqref>
        </x14:dataValidation>
        <x14:dataValidation type="list" allowBlank="1" showInputMessage="1" showErrorMessage="1" xr:uid="{00000000-0002-0000-0300-000009000000}">
          <x14:formula1>
            <xm:f>data!$C$25:$C$27</xm:f>
          </x14:formula1>
          <xm:sqref>F9</xm:sqref>
        </x14:dataValidation>
        <x14:dataValidation type="list" allowBlank="1" showInputMessage="1" showErrorMessage="1" xr:uid="{00000000-0002-0000-0300-00000A000000}">
          <x14:formula1>
            <xm:f>data!$A$2:$A$10</xm:f>
          </x14:formula1>
          <xm:sqref>E5</xm:sqref>
        </x14:dataValidation>
        <x14:dataValidation type="list" allowBlank="1" showInputMessage="1" showErrorMessage="1" xr:uid="{00000000-0002-0000-0300-00000B000000}">
          <x14:formula1>
            <xm:f>data!$A$11:$A$14</xm:f>
          </x14:formula1>
          <xm:sqref>C4</xm:sqref>
        </x14:dataValidation>
        <x14:dataValidation type="list" allowBlank="1" showInputMessage="1" showErrorMessage="1" xr:uid="{00000000-0002-0000-0300-00000C000000}">
          <x14:formula1>
            <xm:f>data!$B$15:$B$16</xm:f>
          </x14:formula1>
          <xm:sqref>C7</xm:sqref>
        </x14:dataValidation>
        <x14:dataValidation type="list" allowBlank="1" showInputMessage="1" showErrorMessage="1" xr:uid="{00000000-0002-0000-0300-00000D000000}">
          <x14:formula1>
            <xm:f>data!$A$15:$A$17</xm:f>
          </x14:formula1>
          <xm:sqref>C5</xm:sqref>
        </x14:dataValidation>
        <x14:dataValidation type="list" allowBlank="1" showInputMessage="1" showErrorMessage="1" xr:uid="{00000000-0002-0000-0300-00000E000000}">
          <x14:formula1>
            <xm:f>data!$A$18:$A$19</xm:f>
          </x14:formula1>
          <xm:sqref>N2</xm:sqref>
        </x14:dataValidation>
        <x14:dataValidation type="list" allowBlank="1" showInputMessage="1" showErrorMessage="1" xr:uid="{00000000-0002-0000-0300-00000F000000}">
          <x14:formula1>
            <xm:f>data!$B$15:$B$26</xm:f>
          </x14:formula1>
          <xm:sqref>D7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F86"/>
  <sheetViews>
    <sheetView showGridLines="0" showRowColHeaders="0" zoomScale="130" zoomScaleNormal="130" workbookViewId="0">
      <selection activeCell="C4" sqref="C4"/>
    </sheetView>
  </sheetViews>
  <sheetFormatPr defaultRowHeight="13.5"/>
  <cols>
    <col min="1" max="1" width="1.875" customWidth="1"/>
    <col min="2" max="3" width="8.75" style="1" customWidth="1"/>
    <col min="4" max="6" width="8.75" customWidth="1"/>
    <col min="7" max="7" width="8.625" customWidth="1"/>
    <col min="8" max="8" width="10.625" customWidth="1"/>
    <col min="9" max="15" width="8.75" customWidth="1"/>
    <col min="16" max="16" width="8.875" customWidth="1"/>
    <col min="17" max="17" width="12.75" bestFit="1" customWidth="1"/>
    <col min="18" max="18" width="9.5" bestFit="1" customWidth="1"/>
    <col min="19" max="19" width="12.75" bestFit="1" customWidth="1"/>
  </cols>
  <sheetData>
    <row r="2" spans="2:23" ht="21">
      <c r="B2" s="1210" t="s">
        <v>176</v>
      </c>
      <c r="C2" s="1211"/>
      <c r="D2" s="1211"/>
      <c r="E2" s="1211"/>
      <c r="F2" s="1211"/>
      <c r="H2" s="1220"/>
      <c r="I2" s="1221"/>
      <c r="J2" s="1221"/>
      <c r="K2" s="1221"/>
      <c r="L2" s="1221"/>
      <c r="M2" s="974" t="s">
        <v>495</v>
      </c>
      <c r="N2" s="975" t="s">
        <v>496</v>
      </c>
    </row>
    <row r="3" spans="2:23" ht="14.25" thickBot="1"/>
    <row r="4" spans="2:23">
      <c r="B4" s="179" t="s">
        <v>0</v>
      </c>
      <c r="C4" s="1072">
        <v>910</v>
      </c>
      <c r="D4" s="78" t="s">
        <v>4</v>
      </c>
      <c r="E4" s="78"/>
      <c r="F4" s="78"/>
      <c r="G4" s="78"/>
      <c r="H4" s="101"/>
      <c r="U4" s="1044" t="s">
        <v>46</v>
      </c>
      <c r="V4" s="1018">
        <v>45</v>
      </c>
      <c r="W4" s="1046">
        <f>C4</f>
        <v>910</v>
      </c>
    </row>
    <row r="5" spans="2:23" ht="14.25" customHeight="1" thickBot="1">
      <c r="B5" s="108" t="s">
        <v>12</v>
      </c>
      <c r="C5" s="1073" t="s">
        <v>745</v>
      </c>
      <c r="D5" s="80" t="s">
        <v>54</v>
      </c>
      <c r="E5" s="1074" t="s">
        <v>46</v>
      </c>
      <c r="F5" s="19"/>
      <c r="G5" s="19"/>
      <c r="H5" s="89"/>
      <c r="U5" s="1045" t="s">
        <v>45</v>
      </c>
      <c r="V5" s="1018">
        <v>60</v>
      </c>
      <c r="W5" s="1046">
        <f>(W4)/1000*3</f>
        <v>2.73</v>
      </c>
    </row>
    <row r="6" spans="2:23" ht="14.25" customHeight="1" thickTop="1" thickBot="1">
      <c r="B6" s="108" t="s">
        <v>13</v>
      </c>
      <c r="C6" s="81" t="s">
        <v>78</v>
      </c>
      <c r="D6" s="96" t="s">
        <v>79</v>
      </c>
      <c r="E6" s="1217" t="s">
        <v>177</v>
      </c>
      <c r="F6" s="1218"/>
      <c r="G6" s="1218"/>
      <c r="H6" s="1219"/>
      <c r="U6" s="1045" t="s">
        <v>47</v>
      </c>
      <c r="V6" s="1018">
        <v>75</v>
      </c>
      <c r="W6" s="1046">
        <f>(W4)/1000*4</f>
        <v>3.64</v>
      </c>
    </row>
    <row r="7" spans="2:23" ht="12.75" customHeight="1" thickBot="1">
      <c r="B7" s="108"/>
      <c r="C7" s="1081">
        <v>105</v>
      </c>
      <c r="D7" s="1085">
        <v>105</v>
      </c>
      <c r="E7" s="1214" t="str">
        <f>+IF((F9*1000/MAX(C37,E37))&lt;=12,"はりせい/スパン  OK!","使用上の支障が起きないか確認要：設計変更？？")</f>
        <v>使用上の支障が起きないか確認要：設計変更？？</v>
      </c>
      <c r="F7" s="1167"/>
      <c r="G7" s="1215"/>
      <c r="H7" s="1216"/>
      <c r="U7" s="1045" t="s">
        <v>48</v>
      </c>
      <c r="V7" s="1018">
        <v>90</v>
      </c>
      <c r="W7" s="1046">
        <f>(W4)/1000*5</f>
        <v>4.55</v>
      </c>
    </row>
    <row r="8" spans="2:23" ht="14.25" customHeight="1" thickTop="1">
      <c r="B8" s="469" t="s">
        <v>80</v>
      </c>
      <c r="C8" s="130">
        <f>根太!C8</f>
        <v>333.33333333333331</v>
      </c>
      <c r="D8" s="92" t="s">
        <v>4</v>
      </c>
      <c r="E8" s="76" t="s">
        <v>133</v>
      </c>
      <c r="F8" s="1086">
        <v>2.73</v>
      </c>
      <c r="G8" s="19" t="s">
        <v>77</v>
      </c>
      <c r="H8" s="89"/>
      <c r="U8" s="1045" t="s">
        <v>49</v>
      </c>
      <c r="V8" s="1018">
        <v>105</v>
      </c>
      <c r="W8" s="1060" t="s">
        <v>168</v>
      </c>
    </row>
    <row r="9" spans="2:23" ht="14.25" customHeight="1">
      <c r="B9" s="108" t="s">
        <v>455</v>
      </c>
      <c r="C9" s="735">
        <v>250</v>
      </c>
      <c r="D9" s="19"/>
      <c r="E9" s="81" t="s">
        <v>132</v>
      </c>
      <c r="F9" s="102">
        <f>INDEX(data!B29:'data'!B32,MATCH(G13,data!A29:'data'!A32,0))</f>
        <v>1.82</v>
      </c>
      <c r="G9" s="19" t="s">
        <v>77</v>
      </c>
      <c r="H9" s="89"/>
      <c r="U9" s="1045" t="s">
        <v>50</v>
      </c>
      <c r="V9" s="1018">
        <v>120</v>
      </c>
      <c r="W9" s="1060" t="s">
        <v>719</v>
      </c>
    </row>
    <row r="10" spans="2:23" ht="14.25" customHeight="1">
      <c r="B10" s="108" t="s">
        <v>5</v>
      </c>
      <c r="C10" s="76">
        <v>2</v>
      </c>
      <c r="D10" s="19"/>
      <c r="E10" s="51" t="s">
        <v>454</v>
      </c>
      <c r="F10" s="1087">
        <v>0.4</v>
      </c>
      <c r="G10" s="680"/>
      <c r="H10" s="681"/>
      <c r="U10" s="1045" t="s">
        <v>51</v>
      </c>
      <c r="V10" s="1046">
        <v>135</v>
      </c>
      <c r="W10" s="1060" t="s">
        <v>720</v>
      </c>
    </row>
    <row r="11" spans="2:23" ht="14.25" customHeight="1">
      <c r="B11" s="1212" t="s">
        <v>107</v>
      </c>
      <c r="C11" s="131" t="s">
        <v>138</v>
      </c>
      <c r="D11" s="102" t="s">
        <v>139</v>
      </c>
      <c r="E11" s="114" t="s">
        <v>140</v>
      </c>
      <c r="F11" s="114"/>
      <c r="G11" s="682"/>
      <c r="H11" s="681"/>
      <c r="L11" s="757" t="s">
        <v>255</v>
      </c>
      <c r="O11" s="92" t="s">
        <v>456</v>
      </c>
      <c r="U11" s="1045" t="s">
        <v>52</v>
      </c>
      <c r="V11" s="1046">
        <v>150</v>
      </c>
      <c r="W11" s="1060" t="s">
        <v>721</v>
      </c>
    </row>
    <row r="12" spans="2:23" ht="12.75" customHeight="1" thickBot="1">
      <c r="B12" s="1212"/>
      <c r="C12" s="1088">
        <v>0.9</v>
      </c>
      <c r="D12" s="1087">
        <v>0.9</v>
      </c>
      <c r="E12" s="1087">
        <v>0.9</v>
      </c>
      <c r="F12" s="75"/>
      <c r="G12" s="76"/>
      <c r="H12" s="89"/>
      <c r="L12" s="30"/>
      <c r="U12" s="1045" t="s">
        <v>53</v>
      </c>
      <c r="V12" s="1046">
        <v>180</v>
      </c>
      <c r="W12" s="1046"/>
    </row>
    <row r="13" spans="2:23" ht="12.75" customHeight="1" thickBot="1">
      <c r="B13" s="763" t="s">
        <v>7</v>
      </c>
      <c r="C13" s="132">
        <f>IF(D7&gt;300,(300/D7)^(1/9),1)</f>
        <v>1</v>
      </c>
      <c r="D13" s="133"/>
      <c r="E13" s="134" t="s">
        <v>134</v>
      </c>
      <c r="F13" s="135" t="s">
        <v>135</v>
      </c>
      <c r="G13" s="1089" t="s">
        <v>305</v>
      </c>
      <c r="H13" s="136" t="s">
        <v>457</v>
      </c>
      <c r="J13" s="1168" t="s">
        <v>109</v>
      </c>
      <c r="K13" s="1183"/>
      <c r="L13" s="3"/>
      <c r="M13" s="180"/>
      <c r="N13" s="709"/>
      <c r="O13" s="4"/>
      <c r="P13" s="683"/>
      <c r="U13" s="1047">
        <v>910</v>
      </c>
      <c r="V13" s="1046">
        <v>210</v>
      </c>
      <c r="W13" s="1046"/>
    </row>
    <row r="14" spans="2:23" ht="13.5" customHeight="1">
      <c r="B14" s="108"/>
      <c r="C14" s="1198" t="s">
        <v>136</v>
      </c>
      <c r="D14" s="1197"/>
      <c r="E14" s="76" t="s">
        <v>81</v>
      </c>
      <c r="F14" s="114" t="s">
        <v>101</v>
      </c>
      <c r="G14" s="116" t="s">
        <v>100</v>
      </c>
      <c r="H14" s="10"/>
      <c r="J14" s="42"/>
      <c r="K14" s="2"/>
      <c r="L14" s="2"/>
      <c r="M14" s="2"/>
      <c r="N14" s="2"/>
      <c r="O14" s="6"/>
      <c r="P14" s="683"/>
      <c r="U14" s="1047">
        <v>950</v>
      </c>
      <c r="V14" s="1046">
        <v>240</v>
      </c>
      <c r="W14" s="1046"/>
    </row>
    <row r="15" spans="2:23" ht="13.5" customHeight="1" thickBot="1">
      <c r="B15" s="1212" t="s">
        <v>84</v>
      </c>
      <c r="C15" s="762">
        <f>$N$31</f>
        <v>2600</v>
      </c>
      <c r="D15" s="76" t="s">
        <v>86</v>
      </c>
      <c r="E15" s="137">
        <f>C8/1000</f>
        <v>0.33333333333333331</v>
      </c>
      <c r="F15" s="138">
        <f>(C15)*(E15)</f>
        <v>866.66666666666663</v>
      </c>
      <c r="G15" s="139">
        <f>(F15)</f>
        <v>866.66666666666663</v>
      </c>
      <c r="H15" s="10" t="s">
        <v>82</v>
      </c>
      <c r="J15" s="1172" t="s">
        <v>110</v>
      </c>
      <c r="K15" s="1211"/>
      <c r="L15" s="2"/>
      <c r="M15" s="2"/>
      <c r="N15" s="2"/>
      <c r="O15" s="6"/>
      <c r="P15" s="29"/>
      <c r="U15" s="1047">
        <v>1000</v>
      </c>
      <c r="V15" s="1046">
        <v>270</v>
      </c>
      <c r="W15" s="1046"/>
    </row>
    <row r="16" spans="2:23" ht="13.5" customHeight="1">
      <c r="B16" s="1212"/>
      <c r="C16" s="96"/>
      <c r="D16" s="92"/>
      <c r="E16" s="92"/>
      <c r="F16" s="94">
        <f>+($C$7)*(D7)*($F$10)*9.8/1000</f>
        <v>43.218000000000004</v>
      </c>
      <c r="G16" s="139">
        <f>+($C$7)*(D7)*($F$10)*9.8/1000</f>
        <v>43.218000000000004</v>
      </c>
      <c r="H16" s="10" t="s">
        <v>172</v>
      </c>
      <c r="J16" s="711"/>
      <c r="K16" s="722"/>
      <c r="L16" s="606" t="s">
        <v>114</v>
      </c>
      <c r="M16" s="606" t="s">
        <v>116</v>
      </c>
      <c r="N16" s="750" t="s">
        <v>115</v>
      </c>
      <c r="O16" s="34"/>
      <c r="U16" s="1047">
        <v>985</v>
      </c>
      <c r="V16" s="1046">
        <v>300</v>
      </c>
      <c r="W16" s="1046"/>
    </row>
    <row r="17" spans="2:23" ht="13.5" customHeight="1">
      <c r="B17" s="108"/>
      <c r="C17" s="109"/>
      <c r="D17" s="76"/>
      <c r="E17" s="110" t="s">
        <v>85</v>
      </c>
      <c r="F17" s="140">
        <f>(F15)+(F16)</f>
        <v>909.88466666666659</v>
      </c>
      <c r="G17" s="141">
        <f>(G15)+(G16)</f>
        <v>909.88466666666659</v>
      </c>
      <c r="H17" s="89"/>
      <c r="J17" s="711"/>
      <c r="K17" s="1130" t="s">
        <v>113</v>
      </c>
      <c r="L17" s="1077">
        <v>100</v>
      </c>
      <c r="M17" s="317"/>
      <c r="N17" s="721"/>
      <c r="O17" s="34"/>
      <c r="U17" s="1047" t="s">
        <v>722</v>
      </c>
      <c r="V17" s="1046">
        <v>330</v>
      </c>
      <c r="W17" s="1046"/>
    </row>
    <row r="18" spans="2:23" ht="13.5" customHeight="1">
      <c r="B18" s="108"/>
      <c r="C18" s="109"/>
      <c r="D18" s="76"/>
      <c r="E18" s="104"/>
      <c r="F18" s="105"/>
      <c r="G18" s="105"/>
      <c r="H18" s="89"/>
      <c r="J18" s="711"/>
      <c r="K18" s="1130" t="s">
        <v>117</v>
      </c>
      <c r="L18" s="1077">
        <v>100</v>
      </c>
      <c r="M18" s="723"/>
      <c r="N18" s="751"/>
      <c r="O18" s="6"/>
      <c r="U18" s="1048" t="s">
        <v>723</v>
      </c>
      <c r="V18" s="1046">
        <v>360</v>
      </c>
      <c r="W18" s="1046"/>
    </row>
    <row r="19" spans="2:23" ht="13.5" customHeight="1">
      <c r="B19" s="108"/>
      <c r="C19" s="1199" t="s">
        <v>137</v>
      </c>
      <c r="D19" s="1200"/>
      <c r="E19" s="1056" t="s">
        <v>141</v>
      </c>
      <c r="F19" s="1057" t="s">
        <v>300</v>
      </c>
      <c r="G19" s="1057"/>
      <c r="H19" s="89"/>
      <c r="J19" s="711"/>
      <c r="K19" s="1131" t="s">
        <v>128</v>
      </c>
      <c r="L19" s="1077">
        <v>100</v>
      </c>
      <c r="M19" s="723"/>
      <c r="N19" s="751"/>
      <c r="O19" s="34"/>
      <c r="U19" s="1048" t="s">
        <v>57</v>
      </c>
      <c r="V19" s="1046">
        <v>390</v>
      </c>
      <c r="W19" s="1046"/>
    </row>
    <row r="20" spans="2:23" ht="13.5" customHeight="1">
      <c r="B20" s="173" t="s">
        <v>174</v>
      </c>
      <c r="C20" s="762">
        <f>$N$31</f>
        <v>2600</v>
      </c>
      <c r="D20" s="76" t="s">
        <v>142</v>
      </c>
      <c r="E20" s="104">
        <f>F8</f>
        <v>2.73</v>
      </c>
      <c r="F20" s="149">
        <f>床小梁!F8</f>
        <v>0.91</v>
      </c>
      <c r="G20" s="138">
        <f>(C20)*(E20)*(F20)</f>
        <v>6459.18</v>
      </c>
      <c r="H20" s="6"/>
      <c r="J20" s="711"/>
      <c r="K20" s="1132" t="s">
        <v>130</v>
      </c>
      <c r="L20" s="1077">
        <v>100</v>
      </c>
      <c r="M20" s="723"/>
      <c r="N20" s="751"/>
      <c r="O20" s="34"/>
    </row>
    <row r="21" spans="2:23" ht="13.5" customHeight="1">
      <c r="B21" s="174" t="s">
        <v>318</v>
      </c>
      <c r="C21" s="762">
        <f>C20</f>
        <v>2600</v>
      </c>
      <c r="D21" s="76" t="s">
        <v>142</v>
      </c>
      <c r="E21" s="142">
        <f>F8</f>
        <v>2.73</v>
      </c>
      <c r="F21" s="143">
        <f t="shared" ref="F21" si="0">F20</f>
        <v>0.91</v>
      </c>
      <c r="G21" s="138">
        <f>(C21)*(E21)*(F21)</f>
        <v>6459.18</v>
      </c>
      <c r="H21" s="95" t="s">
        <v>317</v>
      </c>
      <c r="J21" s="711"/>
      <c r="K21" s="1132" t="s">
        <v>129</v>
      </c>
      <c r="L21" s="1077">
        <v>100</v>
      </c>
      <c r="M21" s="723"/>
      <c r="N21" s="751"/>
      <c r="O21" s="34"/>
    </row>
    <row r="22" spans="2:23" ht="13.5" customHeight="1" thickBot="1">
      <c r="B22" s="144"/>
      <c r="C22" s="1201" t="s">
        <v>136</v>
      </c>
      <c r="D22" s="1202"/>
      <c r="E22" s="145"/>
      <c r="F22" s="146"/>
      <c r="G22" s="147"/>
      <c r="H22" s="148"/>
      <c r="J22" s="711"/>
      <c r="K22" s="1133" t="s">
        <v>167</v>
      </c>
      <c r="L22" s="1078">
        <v>300</v>
      </c>
      <c r="M22" s="752">
        <f>SUM(L17:L22)</f>
        <v>800</v>
      </c>
      <c r="N22" s="754">
        <f>+ROUNDUP(M22/5,-1)*5</f>
        <v>800</v>
      </c>
      <c r="O22" s="34"/>
    </row>
    <row r="23" spans="2:23" ht="13.5" customHeight="1">
      <c r="B23" s="1182" t="s">
        <v>390</v>
      </c>
      <c r="C23" s="762">
        <f>$N$32</f>
        <v>1400</v>
      </c>
      <c r="D23" s="152" t="s">
        <v>87</v>
      </c>
      <c r="E23" s="104">
        <f>C8/1000</f>
        <v>0.33333333333333331</v>
      </c>
      <c r="F23" s="105">
        <f>(C23)*(E23)</f>
        <v>466.66666666666663</v>
      </c>
      <c r="G23" s="890" t="s">
        <v>82</v>
      </c>
      <c r="H23" s="89"/>
      <c r="J23" s="711"/>
      <c r="K23" s="580" t="s">
        <v>111</v>
      </c>
      <c r="L23" s="77" t="s">
        <v>127</v>
      </c>
      <c r="M23" s="77"/>
      <c r="N23" s="2"/>
      <c r="O23" s="34"/>
    </row>
    <row r="24" spans="2:23" ht="13.5" customHeight="1">
      <c r="B24" s="1182"/>
      <c r="C24" s="109"/>
      <c r="D24" s="152"/>
      <c r="E24" s="104"/>
      <c r="F24" s="105">
        <f>($C$7)*(D7)*($F$10)*9.8/1000</f>
        <v>43.218000000000004</v>
      </c>
      <c r="G24" s="890" t="s">
        <v>83</v>
      </c>
      <c r="H24" s="89"/>
      <c r="J24" s="711"/>
      <c r="K24" s="2"/>
      <c r="L24" s="2"/>
      <c r="M24" s="2"/>
      <c r="N24" s="2"/>
      <c r="O24" s="34"/>
    </row>
    <row r="25" spans="2:23" ht="13.5" customHeight="1">
      <c r="B25" s="108"/>
      <c r="C25" s="109"/>
      <c r="D25" s="152"/>
      <c r="E25" s="110" t="s">
        <v>85</v>
      </c>
      <c r="F25" s="111">
        <f>(F23)+(F24)</f>
        <v>509.88466666666665</v>
      </c>
      <c r="G25" s="19"/>
      <c r="H25" s="89"/>
      <c r="J25" s="1172" t="s">
        <v>120</v>
      </c>
      <c r="K25" s="1153"/>
      <c r="L25" s="77"/>
      <c r="M25" s="77"/>
      <c r="N25" s="77"/>
      <c r="O25" s="6"/>
    </row>
    <row r="26" spans="2:23" ht="13.5" customHeight="1" thickBot="1">
      <c r="B26" s="108"/>
      <c r="C26" s="109"/>
      <c r="D26" s="152"/>
      <c r="E26" s="104"/>
      <c r="F26" s="105"/>
      <c r="G26" s="19"/>
      <c r="H26" s="89"/>
      <c r="J26" s="42"/>
      <c r="K26" s="674"/>
      <c r="L26" s="684"/>
      <c r="M26" s="684"/>
      <c r="N26" s="28" t="s">
        <v>450</v>
      </c>
      <c r="O26" s="6"/>
    </row>
    <row r="27" spans="2:23" ht="13.5" customHeight="1">
      <c r="B27" s="108"/>
      <c r="C27" s="1199" t="s">
        <v>137</v>
      </c>
      <c r="D27" s="1213"/>
      <c r="E27" s="1056" t="s">
        <v>141</v>
      </c>
      <c r="F27" s="1057" t="s">
        <v>300</v>
      </c>
      <c r="G27" s="400"/>
      <c r="H27" s="89"/>
      <c r="J27" s="711"/>
      <c r="K27" s="706" t="s">
        <v>453</v>
      </c>
      <c r="L27" s="1079">
        <v>1800</v>
      </c>
      <c r="M27" s="51"/>
      <c r="N27" s="28" t="s">
        <v>458</v>
      </c>
      <c r="O27" s="685">
        <v>1800</v>
      </c>
    </row>
    <row r="28" spans="2:23" ht="13.5" customHeight="1" thickBot="1">
      <c r="B28" s="108"/>
      <c r="C28" s="762">
        <f>$N$32</f>
        <v>1400</v>
      </c>
      <c r="D28" s="152" t="s">
        <v>142</v>
      </c>
      <c r="E28" s="104">
        <f>F8</f>
        <v>2.73</v>
      </c>
      <c r="F28" s="149">
        <f>(F20)</f>
        <v>0.91</v>
      </c>
      <c r="G28" s="19">
        <f>(C28)*(E28)*F28</f>
        <v>3478.02</v>
      </c>
      <c r="H28" s="89" t="s">
        <v>161</v>
      </c>
      <c r="J28" s="711"/>
      <c r="K28" s="708" t="s">
        <v>122</v>
      </c>
      <c r="L28" s="1080">
        <v>600</v>
      </c>
      <c r="M28" s="51" t="s">
        <v>121</v>
      </c>
      <c r="N28" s="28" t="s">
        <v>452</v>
      </c>
      <c r="O28" s="685">
        <v>600</v>
      </c>
    </row>
    <row r="29" spans="2:23" ht="13.5" customHeight="1" thickBot="1">
      <c r="B29" s="108"/>
      <c r="C29" s="109"/>
      <c r="D29" s="76"/>
      <c r="E29" s="104"/>
      <c r="F29" s="105"/>
      <c r="G29" s="19"/>
      <c r="H29" s="89"/>
      <c r="J29" s="711"/>
      <c r="K29" s="77"/>
      <c r="L29" s="77"/>
      <c r="M29" s="77"/>
      <c r="N29" s="77"/>
      <c r="O29" s="34"/>
    </row>
    <row r="30" spans="2:23" ht="13.5" customHeight="1">
      <c r="B30" s="150"/>
      <c r="C30" s="315" t="s">
        <v>101</v>
      </c>
      <c r="D30" s="315" t="s">
        <v>100</v>
      </c>
      <c r="E30" s="315" t="s">
        <v>102</v>
      </c>
      <c r="F30" s="729"/>
      <c r="G30" s="147"/>
      <c r="H30" s="148"/>
      <c r="J30" s="716"/>
      <c r="K30" s="180"/>
      <c r="L30" s="630" t="s">
        <v>124</v>
      </c>
      <c r="M30" s="755" t="s">
        <v>126</v>
      </c>
      <c r="N30" s="180"/>
      <c r="O30" s="193"/>
    </row>
    <row r="31" spans="2:23" ht="13.5" customHeight="1">
      <c r="B31" s="731" t="s">
        <v>15</v>
      </c>
      <c r="C31" s="727"/>
      <c r="D31" s="728">
        <f>(C7)*(C37)*(C12)</f>
        <v>9922.5</v>
      </c>
      <c r="E31" s="845"/>
      <c r="F31" s="729" t="s">
        <v>11</v>
      </c>
      <c r="G31" s="19"/>
      <c r="H31" s="89"/>
      <c r="J31" s="712" t="s">
        <v>175</v>
      </c>
      <c r="K31" s="674" t="s">
        <v>123</v>
      </c>
      <c r="L31" s="77">
        <f>N22</f>
        <v>800</v>
      </c>
      <c r="M31" s="99">
        <f>(L27)</f>
        <v>1800</v>
      </c>
      <c r="N31" s="718">
        <f>(L31)+(M31)</f>
        <v>2600</v>
      </c>
      <c r="O31" s="50" t="s">
        <v>121</v>
      </c>
    </row>
    <row r="32" spans="2:23" ht="13.5" customHeight="1" thickBot="1">
      <c r="B32" s="731" t="s">
        <v>14</v>
      </c>
      <c r="C32" s="730">
        <f>(D12)*((C7)*(C37)^2)/6</f>
        <v>173643.75</v>
      </c>
      <c r="D32" s="845"/>
      <c r="E32" s="845"/>
      <c r="F32" s="729" t="s">
        <v>38</v>
      </c>
      <c r="G32" s="19"/>
      <c r="H32" s="89"/>
      <c r="J32" s="713"/>
      <c r="K32" s="639" t="s">
        <v>102</v>
      </c>
      <c r="L32" s="191">
        <f>N22</f>
        <v>800</v>
      </c>
      <c r="M32" s="756">
        <f>(L28)</f>
        <v>600</v>
      </c>
      <c r="N32" s="719">
        <f>(L32)+(M32)</f>
        <v>1400</v>
      </c>
      <c r="O32" s="715" t="s">
        <v>121</v>
      </c>
    </row>
    <row r="33" spans="2:11" ht="13.5" customHeight="1">
      <c r="B33" s="731" t="s">
        <v>10</v>
      </c>
      <c r="C33" s="846"/>
      <c r="D33" s="845"/>
      <c r="E33" s="730">
        <f>(E12)*((C7)*(E37)^3)/12</f>
        <v>9116296.875</v>
      </c>
      <c r="F33" s="729" t="s">
        <v>39</v>
      </c>
      <c r="G33" s="19"/>
      <c r="H33" s="89"/>
    </row>
    <row r="34" spans="2:11" ht="13.5" customHeight="1" thickBot="1">
      <c r="B34" s="469"/>
      <c r="C34" s="81"/>
      <c r="D34" s="19"/>
      <c r="E34" s="19"/>
      <c r="F34" s="19"/>
      <c r="G34" s="19"/>
      <c r="H34" s="151"/>
    </row>
    <row r="35" spans="2:11" ht="13.5" customHeight="1" thickTop="1" thickBot="1">
      <c r="B35" s="1186" t="s">
        <v>73</v>
      </c>
      <c r="C35" s="1186"/>
      <c r="D35" s="1204"/>
      <c r="E35" s="1205"/>
      <c r="F35" s="1170" t="s">
        <v>74</v>
      </c>
      <c r="G35" s="1206"/>
      <c r="H35" s="92"/>
    </row>
    <row r="36" spans="2:11" ht="13.5" customHeight="1" thickTop="1" thickBot="1">
      <c r="B36" s="1186" t="s">
        <v>44</v>
      </c>
      <c r="C36" s="1186"/>
      <c r="D36" s="1186" t="s">
        <v>43</v>
      </c>
      <c r="E36" s="1186"/>
      <c r="F36" s="1207"/>
      <c r="G36" s="1208"/>
      <c r="H36" s="628" t="s">
        <v>445</v>
      </c>
    </row>
    <row r="37" spans="2:11" ht="13.5" customHeight="1" thickTop="1" thickBot="1">
      <c r="B37" s="758">
        <f>(C7)</f>
        <v>105</v>
      </c>
      <c r="C37" s="749">
        <f>$D$7</f>
        <v>105</v>
      </c>
      <c r="D37" s="759">
        <f>(C7)</f>
        <v>105</v>
      </c>
      <c r="E37" s="747">
        <f>$D$7</f>
        <v>105</v>
      </c>
      <c r="F37" s="1190">
        <f>D65</f>
        <v>4057.585046666667</v>
      </c>
      <c r="G37" s="1209"/>
      <c r="H37" s="636" t="s">
        <v>231</v>
      </c>
      <c r="I37" s="760" t="str">
        <f>(K57)</f>
        <v>×</v>
      </c>
      <c r="J37" s="1194" t="s">
        <v>44</v>
      </c>
      <c r="K37" s="1176"/>
    </row>
    <row r="38" spans="2:11" ht="12.75" customHeight="1" thickTop="1">
      <c r="C38" s="7"/>
      <c r="E38" s="2"/>
      <c r="F38" s="23"/>
      <c r="H38" s="621" t="s">
        <v>321</v>
      </c>
      <c r="I38" s="761" t="str">
        <f>(K70)</f>
        <v>◯</v>
      </c>
      <c r="J38" s="1195"/>
      <c r="K38" s="1196"/>
    </row>
    <row r="39" spans="2:11" ht="14.25" thickBot="1">
      <c r="H39" s="622" t="s">
        <v>343</v>
      </c>
      <c r="I39" s="626" t="str">
        <f>(K86)</f>
        <v>×</v>
      </c>
      <c r="J39" s="1192" t="s">
        <v>43</v>
      </c>
      <c r="K39" s="1193"/>
    </row>
    <row r="40" spans="2:11" ht="7.15" customHeight="1">
      <c r="B40" s="657"/>
      <c r="C40" s="167"/>
      <c r="D40" s="167"/>
      <c r="E40" s="78"/>
      <c r="F40" s="78"/>
      <c r="G40" s="78"/>
      <c r="H40" s="19"/>
      <c r="I40" s="19"/>
      <c r="J40" s="19"/>
      <c r="K40" s="89"/>
    </row>
    <row r="41" spans="2:11">
      <c r="B41" s="466" t="s">
        <v>448</v>
      </c>
      <c r="C41" s="117" t="s">
        <v>539</v>
      </c>
      <c r="D41" s="88">
        <f>(F17)</f>
        <v>909.88466666666659</v>
      </c>
      <c r="E41" s="118">
        <f>(F9)</f>
        <v>1.82</v>
      </c>
      <c r="F41" s="19" t="s">
        <v>88</v>
      </c>
      <c r="G41" s="92">
        <f>((D41)*(E41)*(E41))/8</f>
        <v>376.73774623333333</v>
      </c>
      <c r="H41" s="19" t="s">
        <v>91</v>
      </c>
      <c r="I41" s="92"/>
      <c r="J41" s="92"/>
      <c r="K41" s="89"/>
    </row>
    <row r="42" spans="2:11">
      <c r="B42" s="1002" t="s">
        <v>221</v>
      </c>
      <c r="C42" s="117"/>
      <c r="D42" s="463" t="s">
        <v>18</v>
      </c>
      <c r="E42" s="890" t="s">
        <v>92</v>
      </c>
      <c r="F42" s="19"/>
      <c r="G42" s="19"/>
      <c r="H42" s="19"/>
      <c r="I42" s="19"/>
      <c r="J42" s="19"/>
      <c r="K42" s="89"/>
    </row>
    <row r="43" spans="2:11">
      <c r="B43" s="469"/>
      <c r="C43" s="117"/>
      <c r="D43" s="90"/>
      <c r="E43" s="76"/>
      <c r="F43" s="19"/>
      <c r="G43" s="19"/>
      <c r="H43" s="19"/>
      <c r="I43" s="19"/>
      <c r="J43" s="19"/>
      <c r="K43" s="89"/>
    </row>
    <row r="44" spans="2:11">
      <c r="B44" s="108" t="s">
        <v>143</v>
      </c>
      <c r="C44" s="76" t="s">
        <v>144</v>
      </c>
      <c r="D44" s="92"/>
      <c r="E44" s="92"/>
      <c r="F44" s="152" t="s">
        <v>145</v>
      </c>
      <c r="G44" s="19" t="s">
        <v>152</v>
      </c>
      <c r="H44" s="19"/>
      <c r="I44" s="19"/>
      <c r="J44" s="19"/>
      <c r="K44" s="89"/>
    </row>
    <row r="45" spans="2:11">
      <c r="B45" s="469"/>
      <c r="C45" s="96"/>
      <c r="D45" s="117" t="s">
        <v>584</v>
      </c>
      <c r="E45" s="102" t="s">
        <v>146</v>
      </c>
      <c r="F45" s="152">
        <f>INDEX(data!C29:'data'!C32,MATCH(G13,data!A29:'data'!A32,0))</f>
        <v>0.91</v>
      </c>
      <c r="G45" s="19" t="s">
        <v>150</v>
      </c>
      <c r="H45" s="19"/>
      <c r="I45" s="19">
        <f>(G20)*(F45)*(F9-F45)/(F9)</f>
        <v>2938.9269000000004</v>
      </c>
      <c r="J45" s="19" t="s">
        <v>91</v>
      </c>
      <c r="K45" s="89"/>
    </row>
    <row r="46" spans="2:11">
      <c r="B46" s="469"/>
      <c r="C46" s="76" t="s">
        <v>147</v>
      </c>
      <c r="D46" s="1058" t="s">
        <v>323</v>
      </c>
      <c r="E46" s="92"/>
      <c r="F46" s="152" t="s">
        <v>145</v>
      </c>
      <c r="G46" s="19" t="s">
        <v>153</v>
      </c>
      <c r="H46" s="19"/>
      <c r="I46" s="19"/>
      <c r="J46" s="92"/>
      <c r="K46" s="89"/>
    </row>
    <row r="47" spans="2:11">
      <c r="B47" s="469"/>
      <c r="C47" s="96"/>
      <c r="D47" s="117" t="s">
        <v>585</v>
      </c>
      <c r="E47" s="102" t="s">
        <v>148</v>
      </c>
      <c r="F47" s="152">
        <f>INDEX(data!D29:'data'!D32,MATCH(G13,data!A29:'data'!A32,0))</f>
        <v>0</v>
      </c>
      <c r="G47" s="19" t="s">
        <v>151</v>
      </c>
      <c r="H47" s="19"/>
      <c r="I47" s="19">
        <f>(G20)*(F47)*(F9-F47)/(F9)</f>
        <v>0</v>
      </c>
      <c r="J47" s="19" t="s">
        <v>91</v>
      </c>
      <c r="K47" s="89"/>
    </row>
    <row r="48" spans="2:11">
      <c r="B48" s="469"/>
      <c r="C48" s="1200" t="s">
        <v>149</v>
      </c>
      <c r="D48" s="1200"/>
      <c r="E48" s="102"/>
      <c r="F48" s="152"/>
      <c r="G48" s="19"/>
      <c r="H48" s="19"/>
      <c r="I48" s="19"/>
      <c r="J48" s="19"/>
      <c r="K48" s="89"/>
    </row>
    <row r="49" spans="2:11">
      <c r="B49" s="469"/>
      <c r="C49" s="96"/>
      <c r="D49" s="117" t="s">
        <v>715</v>
      </c>
      <c r="E49" s="117" t="s">
        <v>716</v>
      </c>
      <c r="F49" s="154">
        <f>IF(F45&gt;=F47,(F9-F45),F45)</f>
        <v>0.91</v>
      </c>
      <c r="G49" s="19">
        <f>IF(F45&gt;=F47,F9-F47,F47)</f>
        <v>1.82</v>
      </c>
      <c r="H49" s="155" t="s">
        <v>154</v>
      </c>
      <c r="I49" s="19">
        <f>(I45)+(I47)*(F49)/(G49)</f>
        <v>2938.9269000000004</v>
      </c>
      <c r="J49" s="19" t="s">
        <v>91</v>
      </c>
      <c r="K49" s="89"/>
    </row>
    <row r="50" spans="2:11">
      <c r="B50" s="469"/>
      <c r="C50" s="1200" t="s">
        <v>155</v>
      </c>
      <c r="D50" s="1200"/>
      <c r="E50" s="153" t="s">
        <v>319</v>
      </c>
      <c r="F50" s="152"/>
      <c r="G50" s="19"/>
      <c r="H50" s="19"/>
      <c r="I50" s="19"/>
      <c r="J50" s="19"/>
      <c r="K50" s="89"/>
    </row>
    <row r="51" spans="2:11">
      <c r="B51" s="469"/>
      <c r="C51" s="117"/>
      <c r="D51" s="117" t="s">
        <v>717</v>
      </c>
      <c r="E51" s="117" t="s">
        <v>718</v>
      </c>
      <c r="F51" s="156">
        <f>IF(I47=0,0,F9-G49)</f>
        <v>0</v>
      </c>
      <c r="G51" s="157">
        <f>(F9-F49)</f>
        <v>0.91</v>
      </c>
      <c r="H51" s="155" t="s">
        <v>154</v>
      </c>
      <c r="I51" s="19">
        <f>(I47)+(I45)*(F51)/(G51)</f>
        <v>0</v>
      </c>
      <c r="J51" s="19" t="s">
        <v>91</v>
      </c>
      <c r="K51" s="89"/>
    </row>
    <row r="52" spans="2:11">
      <c r="B52" s="469"/>
      <c r="C52" s="1203" t="s">
        <v>157</v>
      </c>
      <c r="D52" s="1200"/>
      <c r="E52" s="158">
        <f>G41+(MAX(I49,I51))</f>
        <v>3315.6646462333338</v>
      </c>
      <c r="F52" s="19" t="s">
        <v>91</v>
      </c>
      <c r="G52" s="19"/>
      <c r="H52" s="19"/>
      <c r="I52" s="19"/>
      <c r="J52" s="19"/>
      <c r="K52" s="89"/>
    </row>
    <row r="53" spans="2:11">
      <c r="B53" s="469"/>
      <c r="C53" s="117"/>
      <c r="D53" s="90"/>
      <c r="E53" s="76"/>
      <c r="F53" s="19"/>
      <c r="G53" s="19"/>
      <c r="H53" s="19"/>
      <c r="I53" s="19"/>
      <c r="J53" s="19"/>
      <c r="K53" s="89"/>
    </row>
    <row r="54" spans="2:11">
      <c r="B54" s="469" t="s">
        <v>9</v>
      </c>
      <c r="C54" s="117" t="s">
        <v>540</v>
      </c>
      <c r="D54" s="117" t="s">
        <v>314</v>
      </c>
      <c r="E54" s="19" t="s">
        <v>21</v>
      </c>
      <c r="F54" s="92">
        <f>((E52)*1000)/(C32)</f>
        <v>19.094638570252794</v>
      </c>
      <c r="G54" s="19" t="s">
        <v>20</v>
      </c>
      <c r="H54" s="92"/>
      <c r="I54" s="92"/>
      <c r="J54" s="92"/>
      <c r="K54" s="89"/>
    </row>
    <row r="55" spans="2:11">
      <c r="B55" s="469"/>
      <c r="C55" s="81"/>
      <c r="D55" s="19"/>
      <c r="E55" s="19"/>
      <c r="F55" s="19"/>
      <c r="G55" s="81"/>
      <c r="H55" s="92"/>
      <c r="I55" s="19"/>
      <c r="J55" s="19"/>
      <c r="K55" s="89"/>
    </row>
    <row r="56" spans="2:11">
      <c r="B56" s="469"/>
      <c r="C56" s="96" t="s">
        <v>94</v>
      </c>
      <c r="D56" s="92" t="s">
        <v>89</v>
      </c>
      <c r="E56" s="119">
        <f>C13</f>
        <v>1</v>
      </c>
      <c r="F56" s="19">
        <f>1.1*(data!D17)/3</f>
        <v>13.019453333333333</v>
      </c>
      <c r="G56" s="120">
        <f>C13</f>
        <v>1</v>
      </c>
      <c r="H56" s="92">
        <f>(F56)*(G56)</f>
        <v>13.019453333333333</v>
      </c>
      <c r="I56" s="92"/>
      <c r="J56" s="19"/>
      <c r="K56" s="89"/>
    </row>
    <row r="57" spans="2:11" ht="14.25" thickBot="1">
      <c r="B57" s="658"/>
      <c r="C57" s="122"/>
      <c r="D57" s="83"/>
      <c r="E57" s="81" t="s">
        <v>17</v>
      </c>
      <c r="F57" s="83"/>
      <c r="G57" s="81" t="s">
        <v>17</v>
      </c>
      <c r="H57" s="83"/>
      <c r="I57" s="83"/>
      <c r="J57" s="175" t="s">
        <v>322</v>
      </c>
      <c r="K57" s="619" t="str">
        <f>IF(F54&lt;=H56,"◯","×")</f>
        <v>×</v>
      </c>
    </row>
    <row r="58" spans="2:11" ht="7.15" customHeight="1">
      <c r="B58" s="657"/>
      <c r="C58" s="168"/>
      <c r="D58" s="168"/>
      <c r="E58" s="78"/>
      <c r="F58" s="78"/>
      <c r="G58" s="78"/>
      <c r="H58" s="78"/>
      <c r="I58" s="78"/>
      <c r="J58" s="78"/>
      <c r="K58" s="101"/>
    </row>
    <row r="59" spans="2:11">
      <c r="B59" s="68" t="s">
        <v>321</v>
      </c>
      <c r="C59" s="117" t="s">
        <v>541</v>
      </c>
      <c r="D59" s="88">
        <f>(G17)</f>
        <v>909.88466666666659</v>
      </c>
      <c r="E59" s="118">
        <f>(F9)</f>
        <v>1.82</v>
      </c>
      <c r="F59" s="114" t="s">
        <v>95</v>
      </c>
      <c r="G59" s="1059">
        <f>(D59)*(E59)/2</f>
        <v>827.99504666666667</v>
      </c>
      <c r="H59" s="19" t="s">
        <v>31</v>
      </c>
      <c r="I59" s="19"/>
      <c r="J59" s="19"/>
      <c r="K59" s="89"/>
    </row>
    <row r="60" spans="2:11">
      <c r="B60" s="1002" t="s">
        <v>221</v>
      </c>
      <c r="C60" s="81"/>
      <c r="D60" s="463" t="s">
        <v>18</v>
      </c>
      <c r="E60" s="890" t="s">
        <v>92</v>
      </c>
      <c r="F60" s="19"/>
      <c r="G60" s="19"/>
      <c r="H60" s="19"/>
      <c r="I60" s="19"/>
      <c r="J60" s="19"/>
      <c r="K60" s="89"/>
    </row>
    <row r="61" spans="2:11">
      <c r="B61" s="469"/>
      <c r="C61" s="81"/>
      <c r="D61" s="90"/>
      <c r="E61" s="76"/>
      <c r="F61" s="19"/>
      <c r="G61" s="19"/>
      <c r="H61" s="19"/>
      <c r="I61" s="19"/>
      <c r="J61" s="19"/>
      <c r="K61" s="89"/>
    </row>
    <row r="62" spans="2:11">
      <c r="B62" s="108" t="s">
        <v>143</v>
      </c>
      <c r="C62" s="985" t="s">
        <v>544</v>
      </c>
      <c r="D62" s="102" t="s">
        <v>158</v>
      </c>
      <c r="E62" s="76">
        <f>(G20)*(F45)/(F9)</f>
        <v>3229.59</v>
      </c>
      <c r="F62" s="19" t="s">
        <v>31</v>
      </c>
      <c r="G62" s="985" t="s">
        <v>545</v>
      </c>
      <c r="H62" s="19">
        <f>(G20)*(F9-F45)/F9</f>
        <v>3229.59</v>
      </c>
      <c r="I62" s="19" t="s">
        <v>31</v>
      </c>
      <c r="J62" s="92"/>
      <c r="K62" s="89"/>
    </row>
    <row r="63" spans="2:11">
      <c r="B63" s="469"/>
      <c r="C63" s="985" t="s">
        <v>546</v>
      </c>
      <c r="D63" s="102" t="s">
        <v>159</v>
      </c>
      <c r="E63" s="76">
        <f>(G20)*(F47)/(F9)</f>
        <v>0</v>
      </c>
      <c r="F63" s="19" t="s">
        <v>31</v>
      </c>
      <c r="G63" s="985" t="s">
        <v>547</v>
      </c>
      <c r="H63" s="19">
        <f>IF(E63=0,0,(G20)*(F9-F47)/F9)</f>
        <v>0</v>
      </c>
      <c r="I63" s="19" t="s">
        <v>31</v>
      </c>
      <c r="J63" s="90" t="s">
        <v>320</v>
      </c>
      <c r="K63" s="89"/>
    </row>
    <row r="64" spans="2:11">
      <c r="B64" s="469"/>
      <c r="C64" s="81"/>
      <c r="D64" s="90" t="s">
        <v>160</v>
      </c>
      <c r="E64" s="76">
        <f>SUM(E62:E63)</f>
        <v>3229.59</v>
      </c>
      <c r="F64" s="19" t="s">
        <v>31</v>
      </c>
      <c r="G64" s="90" t="s">
        <v>160</v>
      </c>
      <c r="H64" s="76">
        <f>SUM(H62:H63)</f>
        <v>3229.59</v>
      </c>
      <c r="I64" s="19" t="s">
        <v>31</v>
      </c>
      <c r="J64" s="19"/>
      <c r="K64" s="89"/>
    </row>
    <row r="65" spans="2:32">
      <c r="B65" s="469"/>
      <c r="C65" s="81" t="s">
        <v>166</v>
      </c>
      <c r="D65" s="88">
        <f>G59+MAX(E64,H64)</f>
        <v>4057.585046666667</v>
      </c>
      <c r="E65" s="19" t="s">
        <v>31</v>
      </c>
      <c r="F65" s="19"/>
      <c r="G65" s="90"/>
      <c r="H65" s="76"/>
      <c r="I65" s="19"/>
      <c r="J65" s="90"/>
      <c r="K65" s="89"/>
    </row>
    <row r="66" spans="2:32">
      <c r="B66" s="469"/>
      <c r="C66" s="81"/>
      <c r="D66" s="90"/>
      <c r="E66" s="76"/>
      <c r="F66" s="19"/>
      <c r="G66" s="19"/>
      <c r="H66" s="19"/>
      <c r="I66" s="19"/>
      <c r="J66" s="19"/>
      <c r="K66" s="89"/>
    </row>
    <row r="67" spans="2:32">
      <c r="B67" s="469" t="s">
        <v>33</v>
      </c>
      <c r="C67" s="529" t="s">
        <v>548</v>
      </c>
      <c r="D67" s="93" t="s">
        <v>32</v>
      </c>
      <c r="E67" s="92">
        <f>(G59)+(J64)</f>
        <v>827.99504666666667</v>
      </c>
      <c r="F67" s="123">
        <f>(D31)</f>
        <v>9922.5</v>
      </c>
      <c r="G67" s="159">
        <f>1.5*(E67)/(F67)</f>
        <v>0.12516931922398589</v>
      </c>
      <c r="H67" s="81" t="s">
        <v>36</v>
      </c>
      <c r="I67" s="19"/>
      <c r="J67" s="19"/>
      <c r="K67" s="89"/>
      <c r="AE67" s="18" t="s">
        <v>67</v>
      </c>
      <c r="AF67" s="16" t="e">
        <f>POWER(1/(#REF!)/0.25,(1/3))</f>
        <v>#REF!</v>
      </c>
    </row>
    <row r="68" spans="2:32">
      <c r="B68" s="469"/>
      <c r="C68" s="81"/>
      <c r="D68" s="19"/>
      <c r="E68" s="19"/>
      <c r="F68" s="114" t="s">
        <v>315</v>
      </c>
      <c r="G68" s="92"/>
      <c r="H68" s="19"/>
      <c r="I68" s="19"/>
      <c r="J68" s="19"/>
      <c r="K68" s="89"/>
    </row>
    <row r="69" spans="2:32">
      <c r="B69" s="469"/>
      <c r="C69" s="1017" t="s">
        <v>94</v>
      </c>
      <c r="D69" s="92" t="s">
        <v>89</v>
      </c>
      <c r="E69" s="119">
        <f>C13</f>
        <v>1</v>
      </c>
      <c r="F69" s="92">
        <f>1.1*(data!G17)/3</f>
        <v>0.66</v>
      </c>
      <c r="G69" s="120">
        <f>C13</f>
        <v>1</v>
      </c>
      <c r="H69" s="19">
        <f>(F69)*(C13)</f>
        <v>0.66</v>
      </c>
      <c r="I69" s="19"/>
      <c r="J69" s="19"/>
      <c r="K69" s="89"/>
    </row>
    <row r="70" spans="2:32" ht="14.25" thickBot="1">
      <c r="B70" s="658"/>
      <c r="C70" s="122"/>
      <c r="D70" s="83"/>
      <c r="E70" s="81" t="s">
        <v>17</v>
      </c>
      <c r="F70" s="83"/>
      <c r="G70" s="81" t="s">
        <v>17</v>
      </c>
      <c r="H70" s="83"/>
      <c r="I70" s="83"/>
      <c r="J70" s="175" t="s">
        <v>322</v>
      </c>
      <c r="K70" s="619" t="str">
        <f>IF(G67&lt;=H69,"◯","×")</f>
        <v>◯</v>
      </c>
    </row>
    <row r="71" spans="2:32" ht="7.15" customHeight="1">
      <c r="B71" s="657"/>
      <c r="C71" s="168"/>
      <c r="D71" s="168"/>
      <c r="E71" s="78"/>
      <c r="F71" s="78"/>
      <c r="G71" s="78"/>
      <c r="H71" s="78"/>
      <c r="I71" s="78"/>
      <c r="J71" s="78"/>
      <c r="K71" s="101"/>
    </row>
    <row r="72" spans="2:32">
      <c r="B72" s="68" t="s">
        <v>122</v>
      </c>
      <c r="C72" s="529" t="s">
        <v>64</v>
      </c>
      <c r="D72" s="94">
        <f>F25</f>
        <v>509.88466666666665</v>
      </c>
      <c r="E72" s="118">
        <f>(F9)</f>
        <v>1.82</v>
      </c>
      <c r="F72" s="92" t="s">
        <v>162</v>
      </c>
      <c r="G72" s="92">
        <f>data!J17</f>
        <v>7.2972799999999998</v>
      </c>
      <c r="H72" s="124">
        <f>E33</f>
        <v>9116296.875</v>
      </c>
      <c r="I72" s="96" t="s">
        <v>105</v>
      </c>
      <c r="J72" s="125">
        <f>(5*(D72)*(E72)^4)/(384*1000*(G72)*(H72))*1000000000*2</f>
        <v>2.1900135869881243</v>
      </c>
      <c r="K72" s="95" t="s">
        <v>104</v>
      </c>
    </row>
    <row r="73" spans="2:32">
      <c r="B73" s="1002" t="s">
        <v>221</v>
      </c>
      <c r="C73" s="81"/>
      <c r="D73" s="27" t="s">
        <v>71</v>
      </c>
      <c r="E73" s="890" t="s">
        <v>92</v>
      </c>
      <c r="F73" s="92"/>
      <c r="G73" s="19" t="s">
        <v>37</v>
      </c>
      <c r="H73" s="76" t="s">
        <v>40</v>
      </c>
      <c r="I73" s="81" t="s">
        <v>66</v>
      </c>
      <c r="J73" s="92"/>
      <c r="K73" s="89"/>
    </row>
    <row r="74" spans="2:32">
      <c r="B74" s="469"/>
      <c r="C74" s="96"/>
      <c r="D74" s="92"/>
      <c r="E74" s="92"/>
      <c r="F74" s="92"/>
      <c r="G74" s="92"/>
      <c r="H74" s="92"/>
      <c r="I74" s="92"/>
      <c r="J74" s="19"/>
      <c r="K74" s="89"/>
    </row>
    <row r="75" spans="2:32">
      <c r="B75" s="1002" t="s">
        <v>143</v>
      </c>
      <c r="C75" s="126" t="s">
        <v>549</v>
      </c>
      <c r="D75" s="92">
        <f>G28</f>
        <v>3478.02</v>
      </c>
      <c r="E75" s="160">
        <f>MIN(F45,F9-F45)</f>
        <v>0.91</v>
      </c>
      <c r="F75" s="92" t="s">
        <v>164</v>
      </c>
      <c r="G75" s="161">
        <f>(E75)</f>
        <v>0.91</v>
      </c>
      <c r="H75" s="96" t="s">
        <v>173</v>
      </c>
      <c r="I75" s="162">
        <f>data!J17</f>
        <v>7.2972799999999998</v>
      </c>
      <c r="J75" s="163">
        <f>E33</f>
        <v>9116296.875</v>
      </c>
      <c r="K75" s="89"/>
    </row>
    <row r="76" spans="2:32">
      <c r="B76" s="108"/>
      <c r="C76" s="96"/>
      <c r="D76" s="27" t="s">
        <v>71</v>
      </c>
      <c r="E76" s="92"/>
      <c r="F76" s="92"/>
      <c r="G76" s="92"/>
      <c r="H76" s="92"/>
      <c r="I76" s="19" t="s">
        <v>37</v>
      </c>
      <c r="J76" s="76" t="s">
        <v>40</v>
      </c>
      <c r="K76" s="89"/>
    </row>
    <row r="77" spans="2:32">
      <c r="B77" s="469"/>
      <c r="C77" s="96"/>
      <c r="D77" s="164">
        <f>F9</f>
        <v>1.82</v>
      </c>
      <c r="E77" s="1197" t="s">
        <v>105</v>
      </c>
      <c r="F77" s="1197"/>
      <c r="G77" s="92">
        <f>((G28)*(E75)*((F9)*(F9)-(G75)*(G75))^(3/2))/(9*3^(0.5)*(I75)*1000*(J75)*(F9))*1000000000*2</f>
        <v>13.132745464480641</v>
      </c>
      <c r="H77" s="81" t="s">
        <v>104</v>
      </c>
      <c r="I77" s="92"/>
      <c r="J77" s="19"/>
      <c r="K77" s="89"/>
    </row>
    <row r="78" spans="2:32">
      <c r="B78" s="469"/>
      <c r="C78" s="96"/>
      <c r="D78" s="890" t="s">
        <v>92</v>
      </c>
      <c r="E78" s="92"/>
      <c r="F78" s="81" t="s">
        <v>66</v>
      </c>
      <c r="G78" s="92"/>
      <c r="H78" s="92"/>
      <c r="I78" s="92"/>
      <c r="J78" s="19"/>
      <c r="K78" s="89"/>
    </row>
    <row r="79" spans="2:32">
      <c r="B79" s="469"/>
      <c r="C79" s="126" t="s">
        <v>550</v>
      </c>
      <c r="D79" s="92">
        <f>(G28)</f>
        <v>3478.02</v>
      </c>
      <c r="E79" s="92">
        <f>MIN(F47,F9-F47)</f>
        <v>0</v>
      </c>
      <c r="F79" s="92" t="s">
        <v>164</v>
      </c>
      <c r="G79" s="92">
        <f>(E79)</f>
        <v>0</v>
      </c>
      <c r="H79" s="96" t="s">
        <v>173</v>
      </c>
      <c r="I79" s="162">
        <f>data!J17</f>
        <v>7.2972799999999998</v>
      </c>
      <c r="J79" s="163">
        <f>E33</f>
        <v>9116296.875</v>
      </c>
      <c r="K79" s="89"/>
    </row>
    <row r="80" spans="2:32">
      <c r="B80" s="469"/>
      <c r="C80" s="96"/>
      <c r="D80" s="75" t="s">
        <v>71</v>
      </c>
      <c r="E80" s="81"/>
      <c r="F80" s="92"/>
      <c r="G80" s="92"/>
      <c r="H80" s="92"/>
      <c r="I80" s="19" t="s">
        <v>37</v>
      </c>
      <c r="J80" s="76" t="s">
        <v>40</v>
      </c>
      <c r="K80" s="89"/>
    </row>
    <row r="81" spans="2:11">
      <c r="B81" s="469"/>
      <c r="C81" s="96"/>
      <c r="D81" s="165">
        <f>F9</f>
        <v>1.82</v>
      </c>
      <c r="E81" s="1197" t="s">
        <v>105</v>
      </c>
      <c r="F81" s="1197"/>
      <c r="G81" s="92">
        <f>((G28)*(E79)*((F9)^2-(E79)^2)^(3/2)/(9*3^(1/2)*(I79)*1000*(J79)*(F9))*1000000000*2)</f>
        <v>0</v>
      </c>
      <c r="H81" s="81" t="s">
        <v>104</v>
      </c>
      <c r="I81" s="92" t="s">
        <v>319</v>
      </c>
      <c r="J81" s="19"/>
      <c r="K81" s="89"/>
    </row>
    <row r="82" spans="2:11">
      <c r="B82" s="469"/>
      <c r="C82" s="96"/>
      <c r="D82" s="76" t="s">
        <v>92</v>
      </c>
      <c r="E82" s="92"/>
      <c r="F82" s="81" t="s">
        <v>66</v>
      </c>
      <c r="G82" s="92"/>
      <c r="H82" s="81"/>
      <c r="I82" s="92"/>
      <c r="J82" s="19"/>
      <c r="K82" s="89"/>
    </row>
    <row r="83" spans="2:11">
      <c r="B83" s="469"/>
      <c r="C83" s="1017" t="s">
        <v>165</v>
      </c>
      <c r="D83" s="125">
        <f>(J72)+(G77)+(G81)</f>
        <v>15.322759051468765</v>
      </c>
      <c r="E83" s="81" t="s">
        <v>104</v>
      </c>
      <c r="F83" s="92"/>
      <c r="G83" s="92"/>
      <c r="H83" s="92"/>
      <c r="I83" s="92"/>
      <c r="J83" s="19"/>
      <c r="K83" s="89"/>
    </row>
    <row r="84" spans="2:11">
      <c r="B84" s="469"/>
      <c r="C84" s="96"/>
      <c r="D84" s="92"/>
      <c r="E84" s="81"/>
      <c r="F84" s="92"/>
      <c r="G84" s="92"/>
      <c r="H84" s="92"/>
      <c r="I84" s="92"/>
      <c r="J84" s="19"/>
      <c r="K84" s="89"/>
    </row>
    <row r="85" spans="2:11">
      <c r="B85" s="469"/>
      <c r="C85" s="1017" t="s">
        <v>94</v>
      </c>
      <c r="D85" s="97" t="s">
        <v>68</v>
      </c>
      <c r="E85" s="92">
        <f>1000*(F9)/250</f>
        <v>7.28</v>
      </c>
      <c r="F85" s="92" t="s">
        <v>106</v>
      </c>
      <c r="G85" s="19"/>
      <c r="H85" s="19"/>
      <c r="I85" s="19"/>
      <c r="J85" s="19"/>
      <c r="K85" s="89"/>
    </row>
    <row r="86" spans="2:11" ht="14.25" thickBot="1">
      <c r="B86" s="658"/>
      <c r="C86" s="122"/>
      <c r="D86" s="83"/>
      <c r="E86" s="83"/>
      <c r="F86" s="83"/>
      <c r="G86" s="83"/>
      <c r="H86" s="83"/>
      <c r="I86" s="83"/>
      <c r="J86" s="175" t="s">
        <v>322</v>
      </c>
      <c r="K86" s="619" t="str">
        <f>IF(D83&lt;=E85,"◯","×")</f>
        <v>×</v>
      </c>
    </row>
  </sheetData>
  <sheetProtection password="98C9" sheet="1" objects="1" scenarios="1" selectLockedCells="1"/>
  <mergeCells count="26">
    <mergeCell ref="B2:F2"/>
    <mergeCell ref="B15:B16"/>
    <mergeCell ref="B23:B24"/>
    <mergeCell ref="C27:D27"/>
    <mergeCell ref="E7:H7"/>
    <mergeCell ref="E6:H6"/>
    <mergeCell ref="H2:L2"/>
    <mergeCell ref="J13:K13"/>
    <mergeCell ref="J15:K15"/>
    <mergeCell ref="J25:K25"/>
    <mergeCell ref="B11:B12"/>
    <mergeCell ref="J39:K39"/>
    <mergeCell ref="J37:K38"/>
    <mergeCell ref="E77:F77"/>
    <mergeCell ref="E81:F81"/>
    <mergeCell ref="C14:D14"/>
    <mergeCell ref="C19:D19"/>
    <mergeCell ref="C22:D22"/>
    <mergeCell ref="C48:D48"/>
    <mergeCell ref="C50:D50"/>
    <mergeCell ref="C52:D52"/>
    <mergeCell ref="B35:E35"/>
    <mergeCell ref="F35:G36"/>
    <mergeCell ref="B36:C36"/>
    <mergeCell ref="D36:E36"/>
    <mergeCell ref="F37:G37"/>
  </mergeCells>
  <phoneticPr fontId="1"/>
  <dataValidations count="8">
    <dataValidation type="list" allowBlank="1" showInputMessage="1" showErrorMessage="1" sqref="C4" xr:uid="{00000000-0002-0000-0400-000000000000}">
      <formula1>$U$13:$U$16</formula1>
    </dataValidation>
    <dataValidation type="list" allowBlank="1" showInputMessage="1" showErrorMessage="1" sqref="C5" xr:uid="{00000000-0002-0000-0400-000001000000}">
      <formula1>$U$17:$U$19</formula1>
    </dataValidation>
    <dataValidation type="list" allowBlank="1" showInputMessage="1" showErrorMessage="1" sqref="E5" xr:uid="{00000000-0002-0000-0400-000002000000}">
      <formula1>$U$4:$U$12</formula1>
    </dataValidation>
    <dataValidation allowBlank="1" showInputMessage="1" showErrorMessage="1" promptTitle="sei" sqref="V4:V9" xr:uid="{00000000-0002-0000-0400-000003000000}"/>
    <dataValidation type="list" allowBlank="1" showInputMessage="1" showErrorMessage="1" sqref="D7" xr:uid="{00000000-0002-0000-0400-000004000000}">
      <formula1>$V$8:$V$19</formula1>
    </dataValidation>
    <dataValidation type="list" allowBlank="1" showInputMessage="1" showErrorMessage="1" sqref="F8" xr:uid="{00000000-0002-0000-0400-000005000000}">
      <formula1>$W$5:$W$7</formula1>
    </dataValidation>
    <dataValidation type="list" allowBlank="1" showInputMessage="1" showErrorMessage="1" sqref="G13" xr:uid="{00000000-0002-0000-0400-000006000000}">
      <formula1>$W$8:$W$11</formula1>
    </dataValidation>
    <dataValidation type="list" allowBlank="1" showInputMessage="1" showErrorMessage="1" sqref="C7" xr:uid="{00000000-0002-0000-0400-000007000000}">
      <formula1>$V$8:$V$9</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400-000008000000}">
          <x14:formula1>
            <xm:f>data!$A$15:$A$17</xm:f>
          </x14:formula1>
          <xm:sqref>C5</xm:sqref>
        </x14:dataValidation>
        <x14:dataValidation type="list" allowBlank="1" showInputMessage="1" showErrorMessage="1" xr:uid="{00000000-0002-0000-0400-000009000000}">
          <x14:formula1>
            <xm:f>data!$B$15:$B$16</xm:f>
          </x14:formula1>
          <xm:sqref>C7</xm:sqref>
        </x14:dataValidation>
        <x14:dataValidation type="list" allowBlank="1" showInputMessage="1" showErrorMessage="1" xr:uid="{00000000-0002-0000-0400-00000A000000}">
          <x14:formula1>
            <xm:f>data!$A$11:$A$14</xm:f>
          </x14:formula1>
          <xm:sqref>C4</xm:sqref>
        </x14:dataValidation>
        <x14:dataValidation type="list" allowBlank="1" showInputMessage="1" showErrorMessage="1" xr:uid="{00000000-0002-0000-0400-00000B000000}">
          <x14:formula1>
            <xm:f>data!$A$2:$A$10</xm:f>
          </x14:formula1>
          <xm:sqref>E5</xm:sqref>
        </x14:dataValidation>
        <x14:dataValidation type="list" allowBlank="1" showInputMessage="1" showErrorMessage="1" xr:uid="{00000000-0002-0000-0400-00000C000000}">
          <x14:formula1>
            <xm:f>data!$A$24:$A$26</xm:f>
          </x14:formula1>
          <xm:sqref>F8</xm:sqref>
        </x14:dataValidation>
        <x14:dataValidation type="list" allowBlank="1" showInputMessage="1" showErrorMessage="1" xr:uid="{00000000-0002-0000-0400-00000D000000}">
          <x14:formula1>
            <xm:f>data!$A$20:$A$23</xm:f>
          </x14:formula1>
          <xm:sqref>G13</xm:sqref>
        </x14:dataValidation>
        <x14:dataValidation type="list" allowBlank="1" showInputMessage="1" showErrorMessage="1" xr:uid="{00000000-0002-0000-0400-00000E000000}">
          <x14:formula1>
            <xm:f>data!$A$18:$A$19</xm:f>
          </x14:formula1>
          <xm:sqref>N13</xm:sqref>
        </x14:dataValidation>
        <x14:dataValidation type="list" allowBlank="1" showInputMessage="1" showErrorMessage="1" xr:uid="{00000000-0002-0000-0400-00000F000000}">
          <x14:formula1>
            <xm:f>data!$B$15:$B$26</xm:f>
          </x14:formula1>
          <xm:sqref>D7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AA79"/>
  <sheetViews>
    <sheetView showGridLines="0" showRowColHeaders="0" zoomScale="130" zoomScaleNormal="130" workbookViewId="0">
      <selection activeCell="O8" sqref="O8"/>
    </sheetView>
  </sheetViews>
  <sheetFormatPr defaultRowHeight="13.5"/>
  <cols>
    <col min="1" max="1" width="1.875" customWidth="1"/>
    <col min="2" max="2" width="10.375" style="1" customWidth="1"/>
    <col min="3" max="3" width="8.75" style="1" customWidth="1"/>
    <col min="4" max="7" width="8.75" customWidth="1"/>
    <col min="8" max="8" width="11.5" customWidth="1"/>
    <col min="9" max="10" width="8.75" customWidth="1"/>
    <col min="11" max="11" width="9.625" bestFit="1" customWidth="1"/>
    <col min="12" max="12" width="8.75" customWidth="1"/>
    <col min="13" max="13" width="8.5" customWidth="1"/>
    <col min="14" max="14" width="11" customWidth="1"/>
    <col min="15" max="15" width="8.75" customWidth="1"/>
    <col min="16" max="16" width="8.875" customWidth="1"/>
    <col min="17" max="17" width="9" customWidth="1"/>
    <col min="18" max="18" width="8.5" customWidth="1"/>
    <col min="20" max="20" width="6.125" customWidth="1"/>
  </cols>
  <sheetData>
    <row r="2" spans="2:27" ht="21">
      <c r="B2" s="1165" t="s">
        <v>178</v>
      </c>
      <c r="C2" s="1153"/>
      <c r="D2" s="1153"/>
      <c r="J2" s="974" t="s">
        <v>495</v>
      </c>
      <c r="K2" s="975" t="s">
        <v>496</v>
      </c>
    </row>
    <row r="3" spans="2:27" ht="14.25" thickBot="1"/>
    <row r="4" spans="2:27" ht="14.25" thickBot="1">
      <c r="B4" s="179" t="s">
        <v>0</v>
      </c>
      <c r="C4" s="1090">
        <v>910</v>
      </c>
      <c r="D4" s="78" t="s">
        <v>4</v>
      </c>
      <c r="E4" s="78"/>
      <c r="F4" s="78"/>
      <c r="G4" s="78"/>
      <c r="H4" s="78"/>
      <c r="I4" s="101"/>
      <c r="Y4" s="1044" t="s">
        <v>46</v>
      </c>
      <c r="Z4" s="1018">
        <v>45</v>
      </c>
      <c r="AA4" s="1046">
        <v>1</v>
      </c>
    </row>
    <row r="5" spans="2:27">
      <c r="B5" s="108" t="s">
        <v>12</v>
      </c>
      <c r="C5" s="1091" t="s">
        <v>745</v>
      </c>
      <c r="D5" s="80" t="s">
        <v>54</v>
      </c>
      <c r="E5" s="1074" t="s">
        <v>46</v>
      </c>
      <c r="F5" s="19"/>
      <c r="G5" s="19"/>
      <c r="H5" s="92"/>
      <c r="I5" s="92"/>
      <c r="J5" s="42"/>
      <c r="K5" s="1224" t="s">
        <v>109</v>
      </c>
      <c r="L5" s="1225"/>
      <c r="M5" s="180"/>
      <c r="N5" s="180"/>
      <c r="O5" s="180"/>
      <c r="P5" s="180"/>
      <c r="Q5" s="180"/>
      <c r="R5" s="180"/>
      <c r="S5" s="180"/>
      <c r="T5" s="180"/>
      <c r="U5" s="193"/>
      <c r="Y5" s="1045" t="s">
        <v>45</v>
      </c>
      <c r="Z5" s="1018">
        <v>60</v>
      </c>
      <c r="AA5" s="1046">
        <v>2</v>
      </c>
    </row>
    <row r="6" spans="2:27">
      <c r="B6" s="108" t="s">
        <v>13</v>
      </c>
      <c r="C6" s="81" t="s">
        <v>1</v>
      </c>
      <c r="D6" s="19" t="s">
        <v>2</v>
      </c>
      <c r="E6" s="19"/>
      <c r="F6" s="19"/>
      <c r="G6" s="19"/>
      <c r="H6" s="92"/>
      <c r="I6" s="92"/>
      <c r="J6" s="42"/>
      <c r="K6" s="711"/>
      <c r="L6" s="77"/>
      <c r="M6" s="77"/>
      <c r="N6" s="77"/>
      <c r="O6" s="77"/>
      <c r="P6" s="77"/>
      <c r="Q6" s="77"/>
      <c r="R6" s="77"/>
      <c r="S6" s="77"/>
      <c r="T6" s="77"/>
      <c r="U6" s="34"/>
      <c r="Y6" s="1045" t="s">
        <v>47</v>
      </c>
      <c r="Z6" s="1018">
        <v>75</v>
      </c>
      <c r="AA6" s="1046">
        <v>3</v>
      </c>
    </row>
    <row r="7" spans="2:27" ht="13.5" customHeight="1">
      <c r="B7" s="108"/>
      <c r="C7" s="170">
        <v>45</v>
      </c>
      <c r="D7" s="1074">
        <v>45</v>
      </c>
      <c r="E7" s="19" t="s">
        <v>4</v>
      </c>
      <c r="F7" s="19"/>
      <c r="G7" s="19"/>
      <c r="H7" s="92"/>
      <c r="I7" s="92"/>
      <c r="J7" s="42"/>
      <c r="K7" s="1172" t="s">
        <v>110</v>
      </c>
      <c r="L7" s="1167"/>
      <c r="M7" s="28" t="s">
        <v>459</v>
      </c>
      <c r="N7" s="459"/>
      <c r="O7" s="316" t="s">
        <v>114</v>
      </c>
      <c r="P7" s="316" t="s">
        <v>116</v>
      </c>
      <c r="Q7" s="316" t="s">
        <v>115</v>
      </c>
      <c r="R7" s="77"/>
      <c r="S7" s="77"/>
      <c r="T7" s="77"/>
      <c r="U7" s="34"/>
      <c r="Y7" s="1045" t="s">
        <v>48</v>
      </c>
      <c r="Z7" s="1018">
        <v>90</v>
      </c>
      <c r="AA7" s="1046">
        <v>4</v>
      </c>
    </row>
    <row r="8" spans="2:27">
      <c r="B8" s="108" t="s">
        <v>179</v>
      </c>
      <c r="C8" s="176">
        <f>(C4)/2</f>
        <v>455</v>
      </c>
      <c r="D8" s="19" t="s">
        <v>4</v>
      </c>
      <c r="E8" s="19"/>
      <c r="F8" s="19"/>
      <c r="G8" s="19"/>
      <c r="H8" s="92"/>
      <c r="I8" s="92"/>
      <c r="J8" s="42"/>
      <c r="K8" s="711"/>
      <c r="L8" s="2"/>
      <c r="M8" s="2"/>
      <c r="N8" s="1134" t="s">
        <v>205</v>
      </c>
      <c r="O8" s="1095">
        <v>100</v>
      </c>
      <c r="P8" s="317"/>
      <c r="Q8" s="777"/>
      <c r="R8" s="77"/>
      <c r="S8" s="77"/>
      <c r="T8" s="77"/>
      <c r="U8" s="34"/>
      <c r="Y8" s="1045" t="s">
        <v>49</v>
      </c>
      <c r="Z8" s="1018">
        <v>105</v>
      </c>
      <c r="AA8" s="1046">
        <v>5</v>
      </c>
    </row>
    <row r="9" spans="2:27">
      <c r="B9" s="108" t="s">
        <v>180</v>
      </c>
      <c r="C9" s="1167" t="s">
        <v>181</v>
      </c>
      <c r="D9" s="1197"/>
      <c r="E9" s="1197"/>
      <c r="F9" s="1167" t="s">
        <v>182</v>
      </c>
      <c r="G9" s="1197"/>
      <c r="H9" s="1197"/>
      <c r="I9" s="1197"/>
      <c r="J9" s="42"/>
      <c r="K9" s="711"/>
      <c r="L9" s="2"/>
      <c r="M9" s="2"/>
      <c r="N9" s="1134" t="s">
        <v>204</v>
      </c>
      <c r="O9" s="1095">
        <v>80</v>
      </c>
      <c r="P9" s="723"/>
      <c r="Q9" s="723"/>
      <c r="R9" s="77"/>
      <c r="S9" s="77"/>
      <c r="T9" s="77"/>
      <c r="U9" s="34"/>
      <c r="Y9" s="1045" t="s">
        <v>50</v>
      </c>
      <c r="Z9" s="1018">
        <v>120</v>
      </c>
      <c r="AA9" s="1046">
        <v>6</v>
      </c>
    </row>
    <row r="10" spans="2:27">
      <c r="B10" s="108" t="s">
        <v>469</v>
      </c>
      <c r="C10" s="1235" t="s">
        <v>183</v>
      </c>
      <c r="D10" s="1236"/>
      <c r="H10" s="169"/>
      <c r="I10" s="169"/>
      <c r="J10" s="42"/>
      <c r="K10" s="711"/>
      <c r="L10" s="2"/>
      <c r="M10" s="2"/>
      <c r="N10" s="1135"/>
      <c r="O10" s="1095">
        <v>0</v>
      </c>
      <c r="P10" s="723"/>
      <c r="Q10" s="723"/>
      <c r="R10" s="77"/>
      <c r="S10" s="77"/>
      <c r="T10" s="77"/>
      <c r="U10" s="34"/>
      <c r="Y10" s="1045" t="s">
        <v>51</v>
      </c>
      <c r="Z10" s="1046">
        <v>135</v>
      </c>
      <c r="AA10" s="1046">
        <v>7</v>
      </c>
    </row>
    <row r="11" spans="2:27" ht="13.5" customHeight="1">
      <c r="B11" s="108" t="s">
        <v>195</v>
      </c>
      <c r="C11" s="1092" t="s">
        <v>189</v>
      </c>
      <c r="D11" s="169"/>
      <c r="E11" s="169"/>
      <c r="F11" s="170"/>
      <c r="G11" s="169"/>
      <c r="H11" s="169"/>
      <c r="I11" s="169"/>
      <c r="J11" s="42"/>
      <c r="K11" s="711"/>
      <c r="L11" s="2"/>
      <c r="M11" s="2"/>
      <c r="N11" s="1136" t="s">
        <v>746</v>
      </c>
      <c r="O11" s="1095">
        <v>40</v>
      </c>
      <c r="P11" s="941">
        <f>SUM(O8:O11)</f>
        <v>220</v>
      </c>
      <c r="Q11" s="837">
        <f>+ROUNDUP(P11/5,-1)*5</f>
        <v>250</v>
      </c>
      <c r="R11" s="77"/>
      <c r="S11" s="77"/>
      <c r="T11" s="77"/>
      <c r="U11" s="34"/>
      <c r="Y11" s="1045" t="s">
        <v>52</v>
      </c>
      <c r="Z11" s="1046">
        <v>150</v>
      </c>
      <c r="AA11" s="1046">
        <v>8</v>
      </c>
    </row>
    <row r="12" spans="2:27">
      <c r="B12" s="108" t="s">
        <v>191</v>
      </c>
      <c r="C12" s="1093">
        <v>4</v>
      </c>
      <c r="D12" s="177" t="s">
        <v>211</v>
      </c>
      <c r="E12" s="178">
        <f>ATAN(C12/10)*180/PI()</f>
        <v>21.801409486351812</v>
      </c>
      <c r="F12" s="92" t="s">
        <v>207</v>
      </c>
      <c r="G12" s="169" t="s">
        <v>192</v>
      </c>
      <c r="H12" s="1094" t="s">
        <v>194</v>
      </c>
      <c r="I12" s="169"/>
      <c r="J12" s="42"/>
      <c r="K12" s="711"/>
      <c r="L12" s="2"/>
      <c r="M12" s="2"/>
      <c r="N12" s="1237" t="s">
        <v>216</v>
      </c>
      <c r="O12" s="1238"/>
      <c r="P12" s="350">
        <f>P11*$P$19</f>
        <v>236.94725151391816</v>
      </c>
      <c r="Q12" s="776">
        <f>+ROUNDUP(P12/5,-1)*5</f>
        <v>250</v>
      </c>
      <c r="R12" s="77"/>
      <c r="S12" s="77"/>
      <c r="T12" s="77"/>
      <c r="U12" s="34"/>
      <c r="Y12" s="1045" t="s">
        <v>53</v>
      </c>
      <c r="Z12" s="1046">
        <v>180</v>
      </c>
      <c r="AA12" s="1046">
        <v>9</v>
      </c>
    </row>
    <row r="13" spans="2:27">
      <c r="B13" s="108" t="s">
        <v>5</v>
      </c>
      <c r="C13" s="170">
        <v>2</v>
      </c>
      <c r="D13" s="19"/>
      <c r="E13" s="19"/>
      <c r="F13" s="19"/>
      <c r="G13" s="19"/>
      <c r="H13" s="92"/>
      <c r="I13" s="92"/>
      <c r="J13" s="42"/>
      <c r="K13" s="711"/>
      <c r="L13" s="2"/>
      <c r="M13" s="2"/>
      <c r="N13" s="690" t="s">
        <v>210</v>
      </c>
      <c r="O13" s="400" t="s">
        <v>460</v>
      </c>
      <c r="P13" s="2"/>
      <c r="Q13" s="77"/>
      <c r="R13" s="77"/>
      <c r="S13" s="77"/>
      <c r="T13" s="77"/>
      <c r="U13" s="34"/>
      <c r="Y13" s="1047">
        <v>910</v>
      </c>
      <c r="Z13" s="1046">
        <v>210</v>
      </c>
      <c r="AA13" s="1020">
        <v>1</v>
      </c>
    </row>
    <row r="14" spans="2:27">
      <c r="B14" s="108" t="s">
        <v>6</v>
      </c>
      <c r="C14" s="1076">
        <v>1</v>
      </c>
      <c r="D14" s="19"/>
      <c r="E14" s="19"/>
      <c r="F14" s="19"/>
      <c r="G14" s="19"/>
      <c r="H14" s="92"/>
      <c r="I14" s="92"/>
      <c r="J14" s="42"/>
      <c r="K14" s="711"/>
      <c r="L14" s="2"/>
      <c r="M14" s="2"/>
      <c r="N14" s="77"/>
      <c r="O14" s="77"/>
      <c r="P14" s="77"/>
      <c r="Q14" s="77"/>
      <c r="R14" s="77"/>
      <c r="S14" s="77"/>
      <c r="T14" s="77"/>
      <c r="U14" s="34"/>
      <c r="Y14" s="1047">
        <v>950</v>
      </c>
      <c r="Z14" s="1046">
        <v>240</v>
      </c>
      <c r="AA14" s="1020">
        <v>1.1499999999999999</v>
      </c>
    </row>
    <row r="15" spans="2:27" ht="15.75" customHeight="1" thickBot="1">
      <c r="B15" s="734" t="s">
        <v>7</v>
      </c>
      <c r="C15" s="82">
        <f>IF(D7&gt;300,(300/D7)^(1/9),1)</f>
        <v>1</v>
      </c>
      <c r="D15" s="83"/>
      <c r="E15" s="83"/>
      <c r="F15" s="83"/>
      <c r="G15" s="19"/>
      <c r="H15" s="92"/>
      <c r="I15" s="92"/>
      <c r="J15" s="42"/>
      <c r="K15" s="1172" t="s">
        <v>200</v>
      </c>
      <c r="L15" s="1211"/>
      <c r="M15" s="19"/>
      <c r="N15" s="19"/>
      <c r="O15" s="19"/>
      <c r="P15" s="19"/>
      <c r="Q15" s="19"/>
      <c r="R15" s="19"/>
      <c r="S15" s="19"/>
      <c r="T15" s="77"/>
      <c r="U15" s="34"/>
      <c r="Y15" s="1047">
        <v>1000</v>
      </c>
      <c r="Z15" s="1046">
        <v>270</v>
      </c>
      <c r="AA15" s="1020">
        <v>1.25</v>
      </c>
    </row>
    <row r="16" spans="2:27" ht="15.75" customHeight="1">
      <c r="B16" s="179"/>
      <c r="C16" s="84"/>
      <c r="D16" s="77"/>
      <c r="E16" s="690" t="s">
        <v>220</v>
      </c>
      <c r="F16" s="690" t="s">
        <v>221</v>
      </c>
      <c r="G16" s="180"/>
      <c r="H16" s="3"/>
      <c r="I16" s="4"/>
      <c r="K16" s="521"/>
      <c r="L16" s="689" t="s">
        <v>218</v>
      </c>
      <c r="M16" s="1232" t="str">
        <f>C10</f>
        <v>一般地(50cm)</v>
      </c>
      <c r="N16" s="1232"/>
      <c r="O16" s="19" t="s">
        <v>213</v>
      </c>
      <c r="P16" s="689">
        <f>IF(M16="一般地(50cm)",20,30)</f>
        <v>20</v>
      </c>
      <c r="Q16" s="19" t="s">
        <v>461</v>
      </c>
      <c r="R16" s="19" t="s">
        <v>215</v>
      </c>
      <c r="S16" s="19"/>
      <c r="T16" s="19">
        <f>INDEX(data!D33:'data'!D36,MATCH(M16,data!A33:'data'!A36,0))*P16</f>
        <v>1000</v>
      </c>
      <c r="U16" s="89" t="s">
        <v>127</v>
      </c>
      <c r="Y16" s="1047">
        <v>985</v>
      </c>
      <c r="Z16" s="1046">
        <v>300</v>
      </c>
      <c r="AA16" s="1046"/>
    </row>
    <row r="17" spans="2:27" ht="15.75" customHeight="1">
      <c r="B17" s="36" t="s">
        <v>225</v>
      </c>
      <c r="C17" s="987" t="s">
        <v>473</v>
      </c>
      <c r="D17" s="176">
        <f>P24</f>
        <v>250</v>
      </c>
      <c r="E17" s="788">
        <f>C8/1000</f>
        <v>0.45500000000000002</v>
      </c>
      <c r="F17" s="789">
        <f>(D17)*(E17)</f>
        <v>113.75</v>
      </c>
      <c r="G17" s="19" t="s">
        <v>222</v>
      </c>
      <c r="H17" s="2"/>
      <c r="I17" s="6"/>
      <c r="K17" s="521"/>
      <c r="L17" s="689" t="s">
        <v>219</v>
      </c>
      <c r="M17" s="689" t="str">
        <f>C11</f>
        <v>等　級　１</v>
      </c>
      <c r="N17" s="19"/>
      <c r="O17" s="19"/>
      <c r="P17" s="19"/>
      <c r="Q17" s="19"/>
      <c r="R17" s="19"/>
      <c r="S17" s="19"/>
      <c r="T17" s="77"/>
      <c r="U17" s="34"/>
      <c r="Y17" s="1047" t="s">
        <v>722</v>
      </c>
      <c r="Z17" s="1046">
        <v>330</v>
      </c>
      <c r="AA17" s="1046"/>
    </row>
    <row r="18" spans="2:27" ht="15.75" customHeight="1">
      <c r="B18" s="36"/>
      <c r="C18" s="678" t="s">
        <v>223</v>
      </c>
      <c r="D18" s="176">
        <f>P25</f>
        <v>893</v>
      </c>
      <c r="E18" s="788">
        <f>C8/1000</f>
        <v>0.45500000000000002</v>
      </c>
      <c r="F18" s="789">
        <f>(D18)*(E18)</f>
        <v>406.315</v>
      </c>
      <c r="G18" s="19" t="s">
        <v>222</v>
      </c>
      <c r="H18" s="2"/>
      <c r="I18" s="6"/>
      <c r="K18" s="521"/>
      <c r="L18" s="689" t="s">
        <v>201</v>
      </c>
      <c r="M18" s="689" t="s">
        <v>462</v>
      </c>
      <c r="N18" s="19" t="s">
        <v>463</v>
      </c>
      <c r="O18" s="19"/>
      <c r="P18" s="222">
        <f>IF(H12="あり",1,IF(E12&gt;60,0,COS(1.5*PI()/180*(E12))^0.5))</f>
        <v>0.91732810180472024</v>
      </c>
      <c r="Q18" s="19"/>
      <c r="R18" s="19"/>
      <c r="S18" s="19"/>
      <c r="T18" s="77"/>
      <c r="U18" s="34"/>
      <c r="Y18" s="1048" t="s">
        <v>724</v>
      </c>
      <c r="Z18" s="1046">
        <v>360</v>
      </c>
      <c r="AA18" s="1046"/>
    </row>
    <row r="19" spans="2:27" ht="15.75" customHeight="1">
      <c r="B19" s="36"/>
      <c r="C19" s="678" t="s">
        <v>224</v>
      </c>
      <c r="D19" s="176">
        <f>P26</f>
        <v>1168</v>
      </c>
      <c r="E19" s="788">
        <f>C8/1000</f>
        <v>0.45500000000000002</v>
      </c>
      <c r="F19" s="789">
        <f>(D19)*(E19)</f>
        <v>531.44000000000005</v>
      </c>
      <c r="G19" s="19" t="s">
        <v>222</v>
      </c>
      <c r="H19" s="2"/>
      <c r="I19" s="6"/>
      <c r="K19" s="521"/>
      <c r="L19" s="764" t="s">
        <v>217</v>
      </c>
      <c r="M19" s="19"/>
      <c r="N19" s="19"/>
      <c r="O19" s="19"/>
      <c r="P19" s="222">
        <f>(100+C12^2)^0.5/10</f>
        <v>1.0770329614269007</v>
      </c>
      <c r="Q19" s="19"/>
      <c r="R19" s="19"/>
      <c r="S19" s="19"/>
      <c r="T19" s="77"/>
      <c r="U19" s="34"/>
      <c r="Y19" s="1048" t="s">
        <v>725</v>
      </c>
      <c r="Z19" s="1046">
        <v>390</v>
      </c>
      <c r="AA19" s="1046"/>
    </row>
    <row r="20" spans="2:27" ht="15.75" customHeight="1">
      <c r="B20" s="68" t="s">
        <v>15</v>
      </c>
      <c r="C20" s="653">
        <f>(C7)*(D7)</f>
        <v>2025</v>
      </c>
      <c r="D20" s="77" t="s">
        <v>11</v>
      </c>
      <c r="E20" s="77"/>
      <c r="F20" s="77"/>
      <c r="G20" s="77"/>
      <c r="H20" s="2"/>
      <c r="I20" s="6"/>
      <c r="K20" s="521"/>
      <c r="L20" s="689" t="s">
        <v>202</v>
      </c>
      <c r="M20" s="19" t="s">
        <v>208</v>
      </c>
      <c r="N20" s="19"/>
      <c r="O20" s="19"/>
      <c r="P20" s="19"/>
      <c r="Q20" s="19">
        <f>ROUNDUP(T16*P18*IF(M16="一般地(50cm)",1,IF(M17="等　級　２",1.2,1)),0)</f>
        <v>918</v>
      </c>
      <c r="R20" s="19" t="s">
        <v>127</v>
      </c>
      <c r="S20" s="19"/>
      <c r="T20" s="77"/>
      <c r="U20" s="34"/>
      <c r="Y20" s="1046" t="s">
        <v>183</v>
      </c>
      <c r="Z20" s="1060" t="s">
        <v>189</v>
      </c>
      <c r="AA20" s="1061" t="s">
        <v>187</v>
      </c>
    </row>
    <row r="21" spans="2:27" ht="15.75" customHeight="1">
      <c r="B21" s="68" t="s">
        <v>14</v>
      </c>
      <c r="C21" s="653">
        <f>((C7)*(D7)*(D7))/6</f>
        <v>15187.5</v>
      </c>
      <c r="D21" s="77" t="s">
        <v>38</v>
      </c>
      <c r="E21" s="77"/>
      <c r="F21" s="77"/>
      <c r="G21" s="77"/>
      <c r="H21" s="2"/>
      <c r="I21" s="6"/>
      <c r="K21" s="521"/>
      <c r="L21" s="689" t="s">
        <v>203</v>
      </c>
      <c r="M21" s="19" t="s">
        <v>209</v>
      </c>
      <c r="N21" s="19"/>
      <c r="O21" s="19"/>
      <c r="P21" s="19"/>
      <c r="Q21" s="19">
        <f>ROUNDUP(0.7*T16*P18*IF(M16="一般地(50cm)",1,IF(M17="等　級　２",1.2,1)),0)</f>
        <v>643</v>
      </c>
      <c r="R21" s="19" t="s">
        <v>127</v>
      </c>
      <c r="S21" s="19"/>
      <c r="T21" s="77"/>
      <c r="U21" s="34"/>
      <c r="Y21" s="1046" t="s">
        <v>184</v>
      </c>
      <c r="Z21" s="1060" t="s">
        <v>190</v>
      </c>
      <c r="AA21" s="1062" t="s">
        <v>188</v>
      </c>
    </row>
    <row r="22" spans="2:27" ht="15.75" customHeight="1">
      <c r="B22" s="68" t="s">
        <v>10</v>
      </c>
      <c r="C22" s="653">
        <f>((C7)*(D7)*(D7)*(D7))/12</f>
        <v>341718.75</v>
      </c>
      <c r="D22" s="77" t="s">
        <v>39</v>
      </c>
      <c r="E22" s="77"/>
      <c r="F22" s="77"/>
      <c r="G22" s="77"/>
      <c r="H22" s="2"/>
      <c r="I22" s="6"/>
      <c r="K22" s="42"/>
      <c r="L22" s="2"/>
      <c r="M22" s="2"/>
      <c r="N22" s="2"/>
      <c r="O22" s="2"/>
      <c r="P22" s="2"/>
      <c r="Q22" s="2"/>
      <c r="R22" s="2"/>
      <c r="S22" s="2"/>
      <c r="T22" s="2"/>
      <c r="U22" s="6"/>
      <c r="Y22" s="1046" t="s">
        <v>185</v>
      </c>
      <c r="Z22" s="1062" t="s">
        <v>726</v>
      </c>
      <c r="AA22" s="1062" t="s">
        <v>118</v>
      </c>
    </row>
    <row r="23" spans="2:27" ht="15.75" customHeight="1" thickBot="1">
      <c r="B23" s="310"/>
      <c r="C23" s="7"/>
      <c r="D23" s="2"/>
      <c r="E23" s="2"/>
      <c r="F23" s="2"/>
      <c r="G23" s="2"/>
      <c r="H23" s="2"/>
      <c r="I23" s="6"/>
      <c r="K23" s="42"/>
      <c r="L23" s="1228" t="s">
        <v>468</v>
      </c>
      <c r="M23" s="1229"/>
      <c r="N23" s="769" t="s">
        <v>465</v>
      </c>
      <c r="O23" s="770" t="s">
        <v>466</v>
      </c>
      <c r="P23" s="772"/>
      <c r="Q23" s="766"/>
      <c r="R23" s="2"/>
      <c r="S23" s="2"/>
      <c r="T23" s="2"/>
      <c r="U23" s="6"/>
      <c r="Y23" s="1046" t="s">
        <v>186</v>
      </c>
      <c r="Z23" s="1062" t="s">
        <v>727</v>
      </c>
      <c r="AA23" s="1018"/>
    </row>
    <row r="24" spans="2:27" ht="15.75" customHeight="1" thickTop="1">
      <c r="B24" s="1226" t="s">
        <v>230</v>
      </c>
      <c r="C24" s="1227"/>
      <c r="D24" s="1227"/>
      <c r="E24" s="778"/>
      <c r="F24" s="1233" t="s">
        <v>232</v>
      </c>
      <c r="G24" s="1234"/>
      <c r="H24" s="1234"/>
      <c r="I24" s="740"/>
      <c r="K24" s="42"/>
      <c r="L24" s="1230" t="s">
        <v>196</v>
      </c>
      <c r="M24" s="1231"/>
      <c r="N24" s="769">
        <f>Q12</f>
        <v>250</v>
      </c>
      <c r="O24" s="771">
        <v>0</v>
      </c>
      <c r="P24" s="773">
        <f>(N24)+(O24)</f>
        <v>250</v>
      </c>
      <c r="Q24" s="767"/>
      <c r="R24" s="2"/>
      <c r="S24" s="2"/>
      <c r="T24" s="2"/>
      <c r="U24" s="6"/>
    </row>
    <row r="25" spans="2:27" ht="15.75" customHeight="1">
      <c r="B25" s="1222" t="s">
        <v>44</v>
      </c>
      <c r="C25" s="1223"/>
      <c r="D25" s="87">
        <f>IF(C10="一般地(50cm)",data!C47,data!D47)</f>
        <v>2.0807554586349566</v>
      </c>
      <c r="E25" s="87" t="s">
        <v>77</v>
      </c>
      <c r="F25" s="779" t="s">
        <v>236</v>
      </c>
      <c r="G25" s="181">
        <f>IF(C10="一般地(50cm)",(F17)*(D25)/2,(F18)*(D25)/2)</f>
        <v>118.34296670986316</v>
      </c>
      <c r="H25" s="684" t="s">
        <v>237</v>
      </c>
      <c r="I25" s="741"/>
      <c r="K25" s="42"/>
      <c r="L25" s="1230" t="s">
        <v>197</v>
      </c>
      <c r="M25" s="1231"/>
      <c r="N25" s="769">
        <f>Q12</f>
        <v>250</v>
      </c>
      <c r="O25" s="771">
        <f>Q21</f>
        <v>643</v>
      </c>
      <c r="P25" s="773">
        <f>(N25)+(O25)</f>
        <v>893</v>
      </c>
      <c r="Q25" s="767"/>
      <c r="R25" s="2"/>
      <c r="S25" s="2"/>
      <c r="T25" s="2"/>
      <c r="U25" s="6"/>
    </row>
    <row r="26" spans="2:27" ht="15.75" customHeight="1">
      <c r="B26" s="1222" t="s">
        <v>43</v>
      </c>
      <c r="C26" s="1223"/>
      <c r="D26" s="87">
        <f>IF(C10="一般地(50cm)",data!C48,data!D48)</f>
        <v>1.2168459515560432</v>
      </c>
      <c r="E26" s="684" t="s">
        <v>77</v>
      </c>
      <c r="F26" s="779" t="s">
        <v>236</v>
      </c>
      <c r="G26" s="181">
        <f>IF(C10="一般地(50cm)",(F17)*(D26)/2,(F18)*(D26)/2)</f>
        <v>69.208113494749966</v>
      </c>
      <c r="H26" s="684" t="s">
        <v>237</v>
      </c>
      <c r="I26" s="741"/>
      <c r="K26" s="42"/>
      <c r="L26" s="1230" t="s">
        <v>198</v>
      </c>
      <c r="M26" s="1231"/>
      <c r="N26" s="769">
        <f>Q12</f>
        <v>250</v>
      </c>
      <c r="O26" s="771">
        <f>Q20</f>
        <v>918</v>
      </c>
      <c r="P26" s="773">
        <f>(N26)+(O26)</f>
        <v>1168</v>
      </c>
      <c r="Q26" s="768" t="s">
        <v>467</v>
      </c>
      <c r="R26" s="2"/>
      <c r="S26" s="2"/>
      <c r="T26" s="2"/>
      <c r="U26" s="6"/>
      <c r="V26" s="77"/>
    </row>
    <row r="27" spans="2:27" ht="9" customHeight="1" thickBot="1">
      <c r="B27" s="742"/>
      <c r="C27" s="743"/>
      <c r="D27" s="744"/>
      <c r="E27" s="744"/>
      <c r="F27" s="780"/>
      <c r="G27" s="744"/>
      <c r="H27" s="744"/>
      <c r="I27" s="745"/>
      <c r="K27" s="765"/>
      <c r="L27" s="14"/>
      <c r="M27" s="14"/>
      <c r="N27" s="14"/>
      <c r="O27" s="14"/>
      <c r="P27" s="14"/>
      <c r="Q27" s="14"/>
      <c r="R27" s="14"/>
      <c r="S27" s="14"/>
      <c r="T27" s="14"/>
      <c r="U27" s="15"/>
      <c r="V27" s="77"/>
    </row>
    <row r="28" spans="2:27" ht="15.75" customHeight="1" thickTop="1" thickBot="1">
      <c r="L28" s="77"/>
      <c r="M28" s="77"/>
      <c r="N28" s="77"/>
      <c r="O28" s="77"/>
      <c r="P28" s="77"/>
      <c r="Q28" s="77"/>
      <c r="R28" s="77"/>
      <c r="S28" s="77"/>
      <c r="T28" s="77"/>
      <c r="U28" s="77"/>
      <c r="V28" s="77"/>
    </row>
    <row r="29" spans="2:27" ht="15.75" customHeight="1">
      <c r="B29" s="643" t="s">
        <v>330</v>
      </c>
      <c r="C29" s="24"/>
      <c r="D29" s="633"/>
      <c r="E29" s="180"/>
      <c r="F29" s="180"/>
      <c r="G29" s="180"/>
      <c r="H29" s="180"/>
      <c r="I29" s="180"/>
      <c r="J29" s="180"/>
      <c r="K29" s="193"/>
      <c r="L29" s="77"/>
      <c r="M29" s="77"/>
      <c r="N29" s="77"/>
      <c r="O29" s="77"/>
      <c r="P29" s="77"/>
      <c r="Q29" s="77"/>
      <c r="R29" s="77"/>
      <c r="S29" s="77"/>
      <c r="T29" s="77"/>
      <c r="U29" s="77"/>
      <c r="V29" s="77"/>
    </row>
    <row r="30" spans="2:27" ht="15.75" customHeight="1">
      <c r="B30" s="648" t="s">
        <v>221</v>
      </c>
      <c r="C30" s="781" t="s">
        <v>327</v>
      </c>
      <c r="D30" s="60" t="s">
        <v>551</v>
      </c>
      <c r="E30" s="183">
        <f>(F17)</f>
        <v>113.75</v>
      </c>
      <c r="F30" s="77" t="s">
        <v>60</v>
      </c>
      <c r="G30" s="77" t="s">
        <v>22</v>
      </c>
      <c r="H30" s="35">
        <f>(E30)/8</f>
        <v>14.21875</v>
      </c>
      <c r="I30" s="77" t="s">
        <v>58</v>
      </c>
      <c r="J30" s="77" t="s">
        <v>19</v>
      </c>
      <c r="K30" s="34"/>
      <c r="L30" s="98"/>
      <c r="M30" s="77"/>
      <c r="N30" s="77"/>
      <c r="O30" s="77"/>
      <c r="P30" s="77"/>
      <c r="Q30" s="77"/>
      <c r="R30" s="41"/>
      <c r="S30" s="41"/>
      <c r="T30" s="41"/>
      <c r="U30" s="41"/>
      <c r="V30" s="41"/>
    </row>
    <row r="31" spans="2:27">
      <c r="B31" s="184"/>
      <c r="C31" s="782"/>
      <c r="D31" s="60"/>
      <c r="E31" s="90" t="s">
        <v>18</v>
      </c>
      <c r="F31" s="77"/>
      <c r="G31" s="77"/>
      <c r="H31" s="35"/>
      <c r="I31" s="77"/>
      <c r="J31" s="77"/>
      <c r="K31" s="34"/>
      <c r="L31" s="41"/>
      <c r="T31" s="41"/>
      <c r="U31" s="41"/>
      <c r="V31" s="41"/>
    </row>
    <row r="32" spans="2:27" ht="12.75" customHeight="1">
      <c r="B32" s="647"/>
      <c r="C32" s="783" t="s">
        <v>328</v>
      </c>
      <c r="D32" s="44" t="s">
        <v>226</v>
      </c>
      <c r="E32" s="183">
        <f>(F18)</f>
        <v>406.315</v>
      </c>
      <c r="F32" s="77" t="s">
        <v>60</v>
      </c>
      <c r="G32" s="77" t="s">
        <v>22</v>
      </c>
      <c r="H32" s="35">
        <f>(E32)/8</f>
        <v>50.789375</v>
      </c>
      <c r="I32" s="77" t="s">
        <v>58</v>
      </c>
      <c r="J32" s="77" t="s">
        <v>19</v>
      </c>
      <c r="K32" s="34"/>
      <c r="L32" s="41"/>
      <c r="T32" s="41"/>
      <c r="U32" s="41"/>
      <c r="V32" s="41"/>
    </row>
    <row r="33" spans="2:22" ht="12.75" customHeight="1">
      <c r="B33" s="184"/>
      <c r="C33" s="782"/>
      <c r="D33" s="41"/>
      <c r="E33" s="90" t="s">
        <v>18</v>
      </c>
      <c r="F33" s="77"/>
      <c r="G33" s="77"/>
      <c r="H33" s="35"/>
      <c r="I33" s="77"/>
      <c r="J33" s="77"/>
      <c r="K33" s="34"/>
      <c r="L33" s="41"/>
      <c r="T33" s="41"/>
      <c r="U33" s="41"/>
      <c r="V33" s="41"/>
    </row>
    <row r="34" spans="2:22">
      <c r="B34" s="647"/>
      <c r="C34" s="783" t="s">
        <v>329</v>
      </c>
      <c r="D34" s="44" t="s">
        <v>227</v>
      </c>
      <c r="E34" s="183">
        <f>(F19)</f>
        <v>531.44000000000005</v>
      </c>
      <c r="F34" s="77" t="s">
        <v>60</v>
      </c>
      <c r="G34" s="77" t="s">
        <v>22</v>
      </c>
      <c r="H34" s="35">
        <f>(E34)/8</f>
        <v>66.430000000000007</v>
      </c>
      <c r="I34" s="77" t="s">
        <v>58</v>
      </c>
      <c r="J34" s="77" t="s">
        <v>19</v>
      </c>
      <c r="K34" s="34"/>
      <c r="L34" s="41"/>
      <c r="T34" s="41"/>
      <c r="U34" s="41"/>
      <c r="V34" s="41"/>
    </row>
    <row r="35" spans="2:22">
      <c r="B35" s="184"/>
      <c r="C35" s="182"/>
      <c r="D35" s="41"/>
      <c r="E35" s="90" t="s">
        <v>18</v>
      </c>
      <c r="F35" s="77"/>
      <c r="G35" s="77"/>
      <c r="H35" s="77"/>
      <c r="I35" s="77"/>
      <c r="J35" s="77"/>
      <c r="K35" s="34"/>
    </row>
    <row r="36" spans="2:22">
      <c r="B36" s="645" t="s">
        <v>231</v>
      </c>
      <c r="C36" s="182"/>
      <c r="D36" s="41"/>
      <c r="E36" s="90"/>
      <c r="F36" s="77"/>
      <c r="G36" s="77"/>
      <c r="H36" s="77"/>
      <c r="I36" s="77"/>
      <c r="J36" s="77"/>
      <c r="K36" s="34"/>
    </row>
    <row r="37" spans="2:22">
      <c r="B37" s="784" t="s">
        <v>327</v>
      </c>
      <c r="C37" s="60" t="s">
        <v>552</v>
      </c>
      <c r="D37" s="60" t="s">
        <v>324</v>
      </c>
      <c r="E37" s="77" t="s">
        <v>21</v>
      </c>
      <c r="F37" s="84" t="s">
        <v>34</v>
      </c>
      <c r="G37" s="185">
        <f>$C$14</f>
        <v>1</v>
      </c>
      <c r="H37" s="186">
        <f>($C$15)</f>
        <v>1</v>
      </c>
      <c r="I37" s="35">
        <f>(1.1*(data!E11)/3)*(G37)*(H37)/((H30)*1000/(C21))</f>
        <v>13.90649301098901</v>
      </c>
      <c r="J37" s="187" t="s">
        <v>59</v>
      </c>
      <c r="K37" s="34" t="s">
        <v>20</v>
      </c>
    </row>
    <row r="38" spans="2:22">
      <c r="B38" s="785"/>
      <c r="C38" s="84"/>
      <c r="D38" s="77"/>
      <c r="E38" s="77"/>
      <c r="F38" s="77"/>
      <c r="G38" s="84" t="s">
        <v>16</v>
      </c>
      <c r="H38" s="84" t="s">
        <v>17</v>
      </c>
      <c r="I38" s="35"/>
      <c r="J38" s="77"/>
      <c r="K38" s="34"/>
    </row>
    <row r="39" spans="2:22" ht="13.15" customHeight="1">
      <c r="B39" s="786" t="s">
        <v>328</v>
      </c>
      <c r="C39" s="44" t="s">
        <v>325</v>
      </c>
      <c r="D39" s="60" t="s">
        <v>324</v>
      </c>
      <c r="E39" s="77" t="s">
        <v>21</v>
      </c>
      <c r="F39" s="84" t="s">
        <v>303</v>
      </c>
      <c r="G39" s="185">
        <f>$C$14</f>
        <v>1</v>
      </c>
      <c r="H39" s="186">
        <f>($C$15)</f>
        <v>1</v>
      </c>
      <c r="I39" s="35">
        <f>(1.1*(data!E11)/3)*1.3*(G39)*(H39)/((H32)*1000/(C21))</f>
        <v>5.0611536714125736</v>
      </c>
      <c r="J39" s="187" t="s">
        <v>59</v>
      </c>
      <c r="K39" s="34" t="s">
        <v>20</v>
      </c>
    </row>
    <row r="40" spans="2:22">
      <c r="B40" s="787"/>
      <c r="C40" s="182"/>
      <c r="D40" s="77"/>
      <c r="E40" s="77"/>
      <c r="F40" s="77"/>
      <c r="G40" s="84" t="s">
        <v>16</v>
      </c>
      <c r="H40" s="84" t="s">
        <v>17</v>
      </c>
      <c r="I40" s="35"/>
      <c r="J40" s="77"/>
      <c r="K40" s="34"/>
    </row>
    <row r="41" spans="2:22">
      <c r="B41" s="786" t="s">
        <v>329</v>
      </c>
      <c r="C41" s="44" t="s">
        <v>326</v>
      </c>
      <c r="D41" s="60" t="s">
        <v>324</v>
      </c>
      <c r="E41" s="77" t="s">
        <v>21</v>
      </c>
      <c r="F41" s="84" t="s">
        <v>304</v>
      </c>
      <c r="G41" s="185">
        <f>$C$14</f>
        <v>1</v>
      </c>
      <c r="H41" s="186">
        <f>($C$15)</f>
        <v>1</v>
      </c>
      <c r="I41" s="35">
        <f>0.8*(2*(data!E11)/3)*(G41)*(H41)/((H34)*1000/(C21))</f>
        <v>4.3295432786391688</v>
      </c>
      <c r="J41" s="187" t="s">
        <v>59</v>
      </c>
      <c r="K41" s="34" t="s">
        <v>20</v>
      </c>
    </row>
    <row r="42" spans="2:22">
      <c r="B42" s="184"/>
      <c r="C42" s="182"/>
      <c r="D42" s="77"/>
      <c r="E42" s="77"/>
      <c r="F42" s="77"/>
      <c r="G42" s="84" t="s">
        <v>16</v>
      </c>
      <c r="H42" s="84" t="s">
        <v>17</v>
      </c>
      <c r="I42" s="77"/>
      <c r="J42" s="77"/>
      <c r="K42" s="34"/>
    </row>
    <row r="43" spans="2:22">
      <c r="B43" s="647" t="s">
        <v>335</v>
      </c>
      <c r="C43" s="60" t="s">
        <v>24</v>
      </c>
      <c r="D43" s="183">
        <f>SQRT(I37)</f>
        <v>3.7291410553891642</v>
      </c>
      <c r="E43" s="781" t="s">
        <v>559</v>
      </c>
      <c r="F43" s="77" t="s">
        <v>233</v>
      </c>
      <c r="G43" s="77"/>
      <c r="H43" s="77"/>
      <c r="I43" s="77"/>
      <c r="J43" s="77"/>
      <c r="K43" s="34"/>
    </row>
    <row r="44" spans="2:22">
      <c r="B44" s="632"/>
      <c r="C44" s="60"/>
      <c r="D44" s="183">
        <f>SQRT(I39)</f>
        <v>2.2497007959754503</v>
      </c>
      <c r="E44" s="783" t="s">
        <v>328</v>
      </c>
      <c r="F44" s="77" t="s">
        <v>233</v>
      </c>
      <c r="G44" s="77"/>
      <c r="H44" s="77"/>
      <c r="I44" s="77"/>
      <c r="J44" s="77"/>
      <c r="K44" s="34"/>
    </row>
    <row r="45" spans="2:22">
      <c r="B45" s="184"/>
      <c r="C45" s="60"/>
      <c r="D45" s="183">
        <f>SQRT(I41)</f>
        <v>2.0807554586349566</v>
      </c>
      <c r="E45" s="783" t="s">
        <v>329</v>
      </c>
      <c r="F45" s="77" t="s">
        <v>233</v>
      </c>
      <c r="G45" s="77"/>
      <c r="H45" s="77"/>
      <c r="I45" s="77"/>
      <c r="J45" s="77"/>
      <c r="K45" s="34"/>
    </row>
    <row r="46" spans="2:22" ht="6.75" customHeight="1">
      <c r="B46" s="184"/>
      <c r="C46" s="60"/>
      <c r="D46" s="41"/>
      <c r="E46" s="182"/>
      <c r="F46" s="77"/>
      <c r="G46" s="77"/>
      <c r="H46" s="77"/>
      <c r="I46" s="77"/>
      <c r="J46" s="77"/>
      <c r="K46" s="34"/>
    </row>
    <row r="47" spans="2:22" ht="6.75" customHeight="1" thickBot="1">
      <c r="B47" s="189"/>
      <c r="C47" s="190"/>
      <c r="D47" s="191"/>
      <c r="F47" s="191"/>
      <c r="G47" s="191"/>
      <c r="H47" s="191"/>
      <c r="I47" s="191"/>
      <c r="J47" s="191"/>
      <c r="K47" s="192"/>
    </row>
    <row r="48" spans="2:22">
      <c r="B48" s="643" t="s">
        <v>321</v>
      </c>
      <c r="C48" s="649"/>
      <c r="D48" s="633"/>
      <c r="E48" s="180"/>
      <c r="F48" s="180"/>
      <c r="G48" s="180"/>
      <c r="H48" s="180"/>
      <c r="I48" s="180"/>
      <c r="J48" s="180"/>
      <c r="K48" s="193"/>
    </row>
    <row r="49" spans="2:11">
      <c r="B49" s="648" t="s">
        <v>221</v>
      </c>
      <c r="C49" s="781" t="s">
        <v>327</v>
      </c>
      <c r="D49" s="574" t="s">
        <v>553</v>
      </c>
      <c r="E49" s="183">
        <f>(F17)</f>
        <v>113.75</v>
      </c>
      <c r="F49" s="77" t="s">
        <v>30</v>
      </c>
      <c r="G49" s="35">
        <f>(E49)/2</f>
        <v>56.875</v>
      </c>
      <c r="H49" s="41" t="s">
        <v>62</v>
      </c>
      <c r="I49" s="77" t="s">
        <v>31</v>
      </c>
      <c r="J49" s="77"/>
      <c r="K49" s="34"/>
    </row>
    <row r="50" spans="2:11">
      <c r="B50" s="184"/>
      <c r="C50" s="782"/>
      <c r="D50" s="635"/>
      <c r="E50" s="17" t="s">
        <v>18</v>
      </c>
      <c r="F50" s="77"/>
      <c r="G50" s="35"/>
      <c r="H50" s="77"/>
      <c r="I50" s="77"/>
      <c r="J50" s="77"/>
      <c r="K50" s="34"/>
    </row>
    <row r="51" spans="2:11">
      <c r="B51" s="647"/>
      <c r="C51" s="783" t="s">
        <v>328</v>
      </c>
      <c r="D51" s="529" t="s">
        <v>554</v>
      </c>
      <c r="E51" s="194">
        <f>F18</f>
        <v>406.315</v>
      </c>
      <c r="F51" s="77" t="s">
        <v>30</v>
      </c>
      <c r="G51" s="35">
        <f>(E51)/2</f>
        <v>203.1575</v>
      </c>
      <c r="H51" s="41" t="s">
        <v>62</v>
      </c>
      <c r="I51" s="77" t="s">
        <v>31</v>
      </c>
      <c r="J51" s="77"/>
      <c r="K51" s="34"/>
    </row>
    <row r="52" spans="2:11">
      <c r="B52" s="184"/>
      <c r="C52" s="782"/>
      <c r="D52" s="17"/>
      <c r="E52" s="77"/>
      <c r="F52" s="77"/>
      <c r="G52" s="35"/>
      <c r="H52" s="77"/>
      <c r="I52" s="77"/>
      <c r="J52" s="77"/>
      <c r="K52" s="34"/>
    </row>
    <row r="53" spans="2:11">
      <c r="B53" s="647"/>
      <c r="C53" s="783" t="s">
        <v>329</v>
      </c>
      <c r="D53" s="529" t="s">
        <v>555</v>
      </c>
      <c r="E53" s="194">
        <f>F19</f>
        <v>531.44000000000005</v>
      </c>
      <c r="F53" s="77" t="s">
        <v>30</v>
      </c>
      <c r="G53" s="35">
        <f>(E53)/2</f>
        <v>265.72000000000003</v>
      </c>
      <c r="H53" s="41" t="s">
        <v>62</v>
      </c>
      <c r="I53" s="77" t="s">
        <v>31</v>
      </c>
      <c r="J53" s="77"/>
      <c r="K53" s="34"/>
    </row>
    <row r="54" spans="2:11">
      <c r="B54" s="184"/>
      <c r="C54" s="84"/>
      <c r="D54" s="90"/>
      <c r="E54" s="77"/>
      <c r="F54" s="77"/>
      <c r="G54" s="77"/>
      <c r="H54" s="77"/>
      <c r="I54" s="77"/>
      <c r="J54" s="77"/>
      <c r="K54" s="34"/>
    </row>
    <row r="55" spans="2:11">
      <c r="B55" s="184"/>
      <c r="C55" s="182"/>
      <c r="D55" s="41"/>
      <c r="E55" s="41"/>
      <c r="F55" s="41"/>
      <c r="G55" s="41"/>
      <c r="H55" s="41"/>
      <c r="I55" s="41"/>
      <c r="J55" s="77"/>
      <c r="K55" s="34"/>
    </row>
    <row r="56" spans="2:11">
      <c r="B56" s="648" t="s">
        <v>293</v>
      </c>
      <c r="C56" s="781" t="s">
        <v>327</v>
      </c>
      <c r="D56" s="60" t="s">
        <v>556</v>
      </c>
      <c r="E56" s="195" t="s">
        <v>32</v>
      </c>
      <c r="F56" s="35">
        <f>(G49)</f>
        <v>56.875</v>
      </c>
      <c r="G56" s="77" t="s">
        <v>63</v>
      </c>
      <c r="H56" s="77" t="s">
        <v>35</v>
      </c>
      <c r="I56" s="84" t="s">
        <v>36</v>
      </c>
      <c r="J56" s="77"/>
      <c r="K56" s="34"/>
    </row>
    <row r="57" spans="2:11">
      <c r="B57" s="184"/>
      <c r="C57" s="782"/>
      <c r="D57" s="60"/>
      <c r="E57" s="195"/>
      <c r="F57" s="35"/>
      <c r="G57" s="77"/>
      <c r="H57" s="77"/>
      <c r="I57" s="84"/>
      <c r="J57" s="77"/>
      <c r="K57" s="34"/>
    </row>
    <row r="58" spans="2:11">
      <c r="B58" s="648"/>
      <c r="C58" s="783" t="s">
        <v>328</v>
      </c>
      <c r="D58" s="60" t="s">
        <v>557</v>
      </c>
      <c r="E58" s="195" t="s">
        <v>32</v>
      </c>
      <c r="F58" s="35">
        <f>(G51)</f>
        <v>203.1575</v>
      </c>
      <c r="G58" s="77" t="s">
        <v>63</v>
      </c>
      <c r="H58" s="84" t="s">
        <v>302</v>
      </c>
      <c r="I58" s="84" t="s">
        <v>36</v>
      </c>
      <c r="J58" s="77"/>
      <c r="K58" s="34"/>
    </row>
    <row r="59" spans="2:11">
      <c r="B59" s="184"/>
      <c r="C59" s="782"/>
      <c r="D59" s="60"/>
      <c r="E59" s="195"/>
      <c r="F59" s="35"/>
      <c r="G59" s="77"/>
      <c r="H59" s="77"/>
      <c r="I59" s="84"/>
      <c r="J59" s="77"/>
      <c r="K59" s="34"/>
    </row>
    <row r="60" spans="2:11">
      <c r="B60" s="648"/>
      <c r="C60" s="783" t="s">
        <v>329</v>
      </c>
      <c r="D60" s="60" t="s">
        <v>558</v>
      </c>
      <c r="E60" s="195" t="s">
        <v>32</v>
      </c>
      <c r="F60" s="35">
        <f>(G53)</f>
        <v>265.72000000000003</v>
      </c>
      <c r="G60" s="77" t="s">
        <v>63</v>
      </c>
      <c r="H60" s="77" t="s">
        <v>301</v>
      </c>
      <c r="I60" s="84" t="s">
        <v>36</v>
      </c>
      <c r="J60" s="77"/>
      <c r="K60" s="34"/>
    </row>
    <row r="61" spans="2:11">
      <c r="B61" s="184"/>
      <c r="C61" s="60"/>
      <c r="D61" s="195"/>
      <c r="E61" s="35"/>
      <c r="F61" s="77"/>
      <c r="G61" s="77"/>
      <c r="H61" s="84"/>
      <c r="I61" s="77"/>
      <c r="J61" s="77"/>
      <c r="K61" s="34"/>
    </row>
    <row r="62" spans="2:11">
      <c r="B62" s="992" t="s">
        <v>335</v>
      </c>
      <c r="C62" s="60" t="s">
        <v>24</v>
      </c>
      <c r="D62" s="183">
        <f>($C$20)*(1.1*(data!H11)/3)/(1.5*(F56))</f>
        <v>15.665934065934065</v>
      </c>
      <c r="E62" s="781" t="s">
        <v>559</v>
      </c>
      <c r="F62" s="77" t="s">
        <v>233</v>
      </c>
      <c r="G62" s="41"/>
      <c r="H62" s="77"/>
      <c r="I62" s="77"/>
      <c r="J62" s="77"/>
      <c r="K62" s="34"/>
    </row>
    <row r="63" spans="2:11">
      <c r="B63" s="188"/>
      <c r="C63" s="60"/>
      <c r="D63" s="183">
        <f>($C$20)*1.3*(1.1*(data!H11)/3)/(1.5*(F58))</f>
        <v>5.701487761958087</v>
      </c>
      <c r="E63" s="783" t="s">
        <v>328</v>
      </c>
      <c r="F63" s="77" t="s">
        <v>233</v>
      </c>
      <c r="G63" s="41"/>
      <c r="H63" s="77"/>
      <c r="I63" s="77"/>
      <c r="J63" s="77"/>
      <c r="K63" s="34"/>
    </row>
    <row r="64" spans="2:11">
      <c r="B64" s="184"/>
      <c r="C64" s="60"/>
      <c r="D64" s="183">
        <f>($C$20)*0.8*(2*(data!H11)/3)/(1.5*(F60))</f>
        <v>4.8773144663555614</v>
      </c>
      <c r="E64" s="783" t="s">
        <v>329</v>
      </c>
      <c r="F64" s="77" t="s">
        <v>233</v>
      </c>
      <c r="G64" s="41"/>
      <c r="H64" s="77"/>
      <c r="I64" s="77"/>
      <c r="J64" s="77"/>
      <c r="K64" s="34"/>
    </row>
    <row r="65" spans="2:11">
      <c r="B65" s="184"/>
      <c r="C65" s="60"/>
      <c r="D65" s="35"/>
      <c r="E65" s="35"/>
      <c r="F65" s="41"/>
      <c r="G65" s="41"/>
      <c r="H65" s="77"/>
      <c r="I65" s="77"/>
      <c r="J65" s="77"/>
      <c r="K65" s="34"/>
    </row>
    <row r="66" spans="2:11" ht="14.25" thickBot="1">
      <c r="B66" s="189"/>
      <c r="C66" s="190"/>
      <c r="D66" s="191"/>
      <c r="E66" s="191"/>
      <c r="F66" s="191"/>
      <c r="G66" s="191"/>
      <c r="H66" s="191"/>
      <c r="I66" s="191"/>
      <c r="J66" s="191"/>
      <c r="K66" s="192"/>
    </row>
    <row r="67" spans="2:11">
      <c r="B67" s="643" t="s">
        <v>122</v>
      </c>
      <c r="C67" s="633"/>
      <c r="D67" s="633"/>
      <c r="E67" s="180"/>
      <c r="F67" s="180"/>
      <c r="G67" s="180"/>
      <c r="H67" s="180"/>
      <c r="I67" s="180"/>
      <c r="J67" s="180"/>
      <c r="K67" s="193"/>
    </row>
    <row r="68" spans="2:11">
      <c r="B68" s="784" t="s">
        <v>327</v>
      </c>
      <c r="C68" s="60" t="s">
        <v>64</v>
      </c>
      <c r="D68" s="196">
        <f>(F17)</f>
        <v>113.75</v>
      </c>
      <c r="E68" s="84" t="s">
        <v>65</v>
      </c>
      <c r="F68" s="35">
        <f>(data!D20)*1000</f>
        <v>7297.28</v>
      </c>
      <c r="G68" s="650">
        <f>($C$22)</f>
        <v>341718.75</v>
      </c>
      <c r="H68" s="651">
        <v>1000000000</v>
      </c>
      <c r="I68" s="652">
        <v>2</v>
      </c>
      <c r="J68" s="183">
        <f>(5*(D68)*(H68)*(I68))/(384*(F68)*(G68))</f>
        <v>1.1879286627264205</v>
      </c>
      <c r="K68" s="235" t="s">
        <v>70</v>
      </c>
    </row>
    <row r="69" spans="2:11">
      <c r="B69" s="787"/>
      <c r="C69" s="84"/>
      <c r="D69" s="166" t="s">
        <v>71</v>
      </c>
      <c r="E69" s="77"/>
      <c r="F69" s="90" t="s">
        <v>37</v>
      </c>
      <c r="G69" s="208" t="s">
        <v>40</v>
      </c>
      <c r="H69" s="35"/>
      <c r="I69" s="653" t="s">
        <v>66</v>
      </c>
      <c r="J69" s="654"/>
      <c r="K69" s="655"/>
    </row>
    <row r="70" spans="2:11">
      <c r="B70" s="787"/>
      <c r="C70" s="182"/>
      <c r="D70" s="41"/>
      <c r="E70" s="41"/>
      <c r="F70" s="656" t="s">
        <v>68</v>
      </c>
      <c r="G70" s="35" t="s">
        <v>234</v>
      </c>
      <c r="H70" s="656" t="s">
        <v>67</v>
      </c>
      <c r="I70" s="183">
        <f>POWER(1/(J68)/0.15,(1/3))</f>
        <v>1.7770765112356159</v>
      </c>
      <c r="J70" s="35" t="s">
        <v>233</v>
      </c>
      <c r="K70" s="655"/>
    </row>
    <row r="71" spans="2:11">
      <c r="B71" s="787"/>
      <c r="C71" s="182"/>
      <c r="D71" s="41"/>
      <c r="E71" s="41"/>
      <c r="F71" s="656"/>
      <c r="G71" s="35"/>
      <c r="H71" s="656"/>
      <c r="I71" s="35"/>
      <c r="J71" s="35"/>
      <c r="K71" s="655"/>
    </row>
    <row r="72" spans="2:11">
      <c r="B72" s="786" t="s">
        <v>328</v>
      </c>
      <c r="C72" s="60" t="s">
        <v>64</v>
      </c>
      <c r="D72" s="196">
        <f>(F18)</f>
        <v>406.315</v>
      </c>
      <c r="E72" s="84" t="s">
        <v>65</v>
      </c>
      <c r="F72" s="35">
        <f>(data!D20)*1000</f>
        <v>7297.28</v>
      </c>
      <c r="G72" s="650">
        <f>($C$22)</f>
        <v>341718.75</v>
      </c>
      <c r="H72" s="651">
        <v>1000000000</v>
      </c>
      <c r="I72" s="652">
        <v>2</v>
      </c>
      <c r="J72" s="183">
        <f>(5*(D72)*(H72)*(I72))/(384*(F72)*(G72))</f>
        <v>4.243281183258774</v>
      </c>
      <c r="K72" s="235" t="s">
        <v>70</v>
      </c>
    </row>
    <row r="73" spans="2:11">
      <c r="B73" s="787"/>
      <c r="C73" s="84"/>
      <c r="D73" s="166" t="s">
        <v>71</v>
      </c>
      <c r="E73" s="77"/>
      <c r="F73" s="90" t="s">
        <v>37</v>
      </c>
      <c r="G73" s="208" t="s">
        <v>40</v>
      </c>
      <c r="H73" s="35"/>
      <c r="I73" s="653" t="s">
        <v>66</v>
      </c>
      <c r="J73" s="35"/>
      <c r="K73" s="655"/>
    </row>
    <row r="74" spans="2:11">
      <c r="B74" s="787"/>
      <c r="C74" s="182"/>
      <c r="D74" s="41"/>
      <c r="E74" s="41"/>
      <c r="F74" s="656" t="s">
        <v>68</v>
      </c>
      <c r="G74" s="35" t="s">
        <v>235</v>
      </c>
      <c r="H74" s="656" t="s">
        <v>67</v>
      </c>
      <c r="I74" s="183">
        <f>POWER(1/(J72)/0.1,(1/3))</f>
        <v>1.3307589514708886</v>
      </c>
      <c r="J74" s="35" t="s">
        <v>233</v>
      </c>
      <c r="K74" s="655"/>
    </row>
    <row r="75" spans="2:11">
      <c r="B75" s="787"/>
      <c r="C75" s="182"/>
      <c r="D75" s="41"/>
      <c r="E75" s="41"/>
      <c r="F75" s="656"/>
      <c r="G75" s="35"/>
      <c r="H75" s="656"/>
      <c r="I75" s="35"/>
      <c r="J75" s="35"/>
      <c r="K75" s="655"/>
    </row>
    <row r="76" spans="2:11">
      <c r="B76" s="786" t="s">
        <v>329</v>
      </c>
      <c r="C76" s="60" t="s">
        <v>64</v>
      </c>
      <c r="D76" s="196">
        <f>(F19)</f>
        <v>531.44000000000005</v>
      </c>
      <c r="E76" s="84" t="s">
        <v>65</v>
      </c>
      <c r="F76" s="35">
        <f>(data!D20)*1000</f>
        <v>7297.28</v>
      </c>
      <c r="G76" s="650">
        <f>($C$22)</f>
        <v>341718.75</v>
      </c>
      <c r="H76" s="651">
        <v>1000000000</v>
      </c>
      <c r="I76" s="652">
        <v>2</v>
      </c>
      <c r="J76" s="183">
        <f>(5*(D76)*(H76)*(I76))/(384*(F76)*(G76))</f>
        <v>5.5500027122578368</v>
      </c>
      <c r="K76" s="235" t="s">
        <v>70</v>
      </c>
    </row>
    <row r="77" spans="2:11">
      <c r="B77" s="184"/>
      <c r="C77" s="84"/>
      <c r="D77" s="166" t="s">
        <v>71</v>
      </c>
      <c r="E77" s="77"/>
      <c r="F77" s="90" t="s">
        <v>37</v>
      </c>
      <c r="G77" s="208" t="s">
        <v>40</v>
      </c>
      <c r="H77" s="35"/>
      <c r="I77" s="653" t="s">
        <v>66</v>
      </c>
      <c r="J77" s="35"/>
      <c r="K77" s="655"/>
    </row>
    <row r="78" spans="2:11">
      <c r="B78" s="184"/>
      <c r="C78" s="182"/>
      <c r="D78" s="41"/>
      <c r="E78" s="41"/>
      <c r="F78" s="656" t="s">
        <v>68</v>
      </c>
      <c r="G78" s="35" t="s">
        <v>235</v>
      </c>
      <c r="H78" s="656" t="s">
        <v>67</v>
      </c>
      <c r="I78" s="183">
        <f>POWER(1/(J76)/0.1,(1/3))</f>
        <v>1.2168459515560432</v>
      </c>
      <c r="J78" s="35" t="s">
        <v>233</v>
      </c>
      <c r="K78" s="655"/>
    </row>
    <row r="79" spans="2:11" ht="14.25" thickBot="1">
      <c r="B79" s="189"/>
      <c r="C79" s="190"/>
      <c r="D79" s="191"/>
      <c r="E79" s="191"/>
      <c r="F79" s="191"/>
      <c r="G79" s="191"/>
      <c r="H79" s="191"/>
      <c r="I79" s="191"/>
      <c r="J79" s="191"/>
      <c r="K79" s="192"/>
    </row>
  </sheetData>
  <sheetProtection password="C53E" sheet="1" objects="1" scenarios="1" selectLockedCells="1"/>
  <mergeCells count="17">
    <mergeCell ref="B2:D2"/>
    <mergeCell ref="F24:H24"/>
    <mergeCell ref="C10:D10"/>
    <mergeCell ref="N12:O12"/>
    <mergeCell ref="B26:C26"/>
    <mergeCell ref="B25:C25"/>
    <mergeCell ref="K5:L5"/>
    <mergeCell ref="K7:L7"/>
    <mergeCell ref="B24:D24"/>
    <mergeCell ref="F9:I9"/>
    <mergeCell ref="C9:E9"/>
    <mergeCell ref="L23:M23"/>
    <mergeCell ref="L24:M24"/>
    <mergeCell ref="L25:M25"/>
    <mergeCell ref="L26:M26"/>
    <mergeCell ref="K15:L15"/>
    <mergeCell ref="M16:N16"/>
  </mergeCells>
  <phoneticPr fontId="1"/>
  <dataValidations count="10">
    <dataValidation type="list" allowBlank="1" showInputMessage="1" showErrorMessage="1" sqref="C11" xr:uid="{00000000-0002-0000-0500-000000000000}">
      <formula1>$Z$20:$Z$21</formula1>
    </dataValidation>
    <dataValidation type="list" allowBlank="1" showInputMessage="1" showErrorMessage="1" sqref="C10:D10" xr:uid="{00000000-0002-0000-0500-000001000000}">
      <formula1>$Y$20:$Y$23</formula1>
    </dataValidation>
    <dataValidation allowBlank="1" showInputMessage="1" showErrorMessage="1" promptTitle="sei" sqref="Z4:Z9" xr:uid="{00000000-0002-0000-0500-000002000000}"/>
    <dataValidation type="list" allowBlank="1" showInputMessage="1" showErrorMessage="1" sqref="C4" xr:uid="{00000000-0002-0000-0500-000003000000}">
      <formula1>$Y$13:$Y$16</formula1>
    </dataValidation>
    <dataValidation type="list" allowBlank="1" showInputMessage="1" showErrorMessage="1" sqref="C5" xr:uid="{00000000-0002-0000-0500-000004000000}">
      <formula1>$Y$17:$Y$19</formula1>
    </dataValidation>
    <dataValidation type="list" allowBlank="1" showInputMessage="1" showErrorMessage="1" sqref="E5" xr:uid="{00000000-0002-0000-0500-000005000000}">
      <formula1>$Y$4:$Y$12</formula1>
    </dataValidation>
    <dataValidation type="list" allowBlank="1" showInputMessage="1" showErrorMessage="1" sqref="D7" xr:uid="{00000000-0002-0000-0500-000006000000}">
      <formula1>$Z$4:$Z$9</formula1>
    </dataValidation>
    <dataValidation type="list" allowBlank="1" showInputMessage="1" showErrorMessage="1" sqref="C12" xr:uid="{00000000-0002-0000-0500-000007000000}">
      <formula1>$AA$4:$AA$9</formula1>
    </dataValidation>
    <dataValidation type="list" allowBlank="1" showInputMessage="1" showErrorMessage="1" sqref="H12" xr:uid="{00000000-0002-0000-0500-000008000000}">
      <formula1>$Z$22:$Z$23</formula1>
    </dataValidation>
    <dataValidation type="list" allowBlank="1" showInputMessage="1" showErrorMessage="1" sqref="C14" xr:uid="{00000000-0002-0000-0500-000009000000}">
      <formula1>$AA$13:$AA$15</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500-00000A000000}">
          <x14:formula1>
            <xm:f>data!$B$35:$B$36</xm:f>
          </x14:formula1>
          <xm:sqref>H12</xm:sqref>
        </x14:dataValidation>
        <x14:dataValidation type="list" allowBlank="1" showInputMessage="1" showErrorMessage="1" xr:uid="{00000000-0002-0000-0500-00000B000000}">
          <x14:formula1>
            <xm:f>data!$A$2:$A$10</xm:f>
          </x14:formula1>
          <xm:sqref>E5</xm:sqref>
        </x14:dataValidation>
        <x14:dataValidation type="list" allowBlank="1" showInputMessage="1" showErrorMessage="1" xr:uid="{00000000-0002-0000-0500-00000C000000}">
          <x14:formula1>
            <xm:f>data!$A$15:$A$17</xm:f>
          </x14:formula1>
          <xm:sqref>C5</xm:sqref>
        </x14:dataValidation>
        <x14:dataValidation type="list" allowBlank="1" showInputMessage="1" showErrorMessage="1" xr:uid="{00000000-0002-0000-0500-00000D000000}">
          <x14:formula1>
            <xm:f>data!$C$15:$C$17</xm:f>
          </x14:formula1>
          <xm:sqref>C14</xm:sqref>
        </x14:dataValidation>
        <x14:dataValidation type="list" allowBlank="1" showInputMessage="1" showErrorMessage="1" xr:uid="{00000000-0002-0000-0500-00000E000000}">
          <x14:formula1>
            <xm:f>data!$A$11:$A$14</xm:f>
          </x14:formula1>
          <xm:sqref>C4</xm:sqref>
        </x14:dataValidation>
        <x14:dataValidation type="list" allowBlank="1" showInputMessage="1" showErrorMessage="1" xr:uid="{00000000-0002-0000-0500-00000F000000}">
          <x14:formula1>
            <xm:f>data!$B$11:$B$16</xm:f>
          </x14:formula1>
          <xm:sqref>D7</xm:sqref>
        </x14:dataValidation>
        <x14:dataValidation type="list" allowBlank="1" showInputMessage="1" showErrorMessage="1" xr:uid="{00000000-0002-0000-0500-000010000000}">
          <x14:formula1>
            <xm:f>data!$A$33:$A$36</xm:f>
          </x14:formula1>
          <xm:sqref>C10:E10</xm:sqref>
        </x14:dataValidation>
        <x14:dataValidation type="list" allowBlank="1" showInputMessage="1" showErrorMessage="1" xr:uid="{00000000-0002-0000-0500-000011000000}">
          <x14:formula1>
            <xm:f>data!$B$33:$B$34</xm:f>
          </x14:formula1>
          <xm:sqref>C11</xm:sqref>
        </x14:dataValidation>
        <x14:dataValidation type="list" allowBlank="1" showInputMessage="1" showErrorMessage="1" xr:uid="{00000000-0002-0000-0500-000012000000}">
          <x14:formula1>
            <xm:f>data!$A$37:$A$42</xm:f>
          </x14:formula1>
          <xm:sqref>C12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AA84"/>
  <sheetViews>
    <sheetView showGridLines="0" showRowColHeaders="0" zoomScale="130" zoomScaleNormal="130" workbookViewId="0">
      <selection activeCell="L8" sqref="L8"/>
    </sheetView>
  </sheetViews>
  <sheetFormatPr defaultRowHeight="13.5"/>
  <cols>
    <col min="1" max="1" width="1.875" customWidth="1"/>
    <col min="2" max="3" width="8.75" style="1" customWidth="1"/>
    <col min="4" max="4" width="8.75" customWidth="1"/>
    <col min="5" max="5" width="8.875" customWidth="1"/>
    <col min="6" max="6" width="8.75" customWidth="1"/>
    <col min="7" max="7" width="8.625" customWidth="1"/>
    <col min="8" max="11" width="8.75" customWidth="1"/>
    <col min="12" max="12" width="12.375" customWidth="1"/>
    <col min="13" max="13" width="9" customWidth="1"/>
    <col min="14" max="15" width="8.75" customWidth="1"/>
    <col min="16" max="16" width="8.875" customWidth="1"/>
    <col min="17" max="17" width="11.375" customWidth="1"/>
    <col min="18" max="18" width="10.625" customWidth="1"/>
    <col min="19" max="19" width="9.625" customWidth="1"/>
    <col min="20" max="20" width="7.875" customWidth="1"/>
    <col min="21" max="21" width="6.5" customWidth="1"/>
    <col min="22" max="22" width="9.125" bestFit="1" customWidth="1"/>
  </cols>
  <sheetData>
    <row r="2" spans="2:27" ht="21">
      <c r="B2" s="1165" t="s">
        <v>238</v>
      </c>
      <c r="C2" s="1153"/>
      <c r="D2" s="1153"/>
      <c r="E2" s="1153"/>
      <c r="J2" s="974" t="s">
        <v>495</v>
      </c>
      <c r="K2" s="975" t="s">
        <v>496</v>
      </c>
    </row>
    <row r="3" spans="2:27" ht="14.25" thickBot="1"/>
    <row r="4" spans="2:27">
      <c r="B4" s="179" t="s">
        <v>0</v>
      </c>
      <c r="C4" s="1096">
        <v>910</v>
      </c>
      <c r="D4" s="180" t="s">
        <v>4</v>
      </c>
      <c r="E4" s="180"/>
      <c r="F4" s="180"/>
      <c r="G4" s="180"/>
      <c r="H4" s="180"/>
      <c r="I4" s="193"/>
      <c r="K4" s="1168" t="s">
        <v>109</v>
      </c>
      <c r="L4" s="1169"/>
      <c r="M4" s="180"/>
      <c r="N4" s="180"/>
      <c r="O4" s="180"/>
      <c r="P4" s="180"/>
      <c r="Q4" s="180"/>
      <c r="R4" s="180"/>
      <c r="S4" s="180"/>
      <c r="T4" s="180"/>
      <c r="U4" s="193"/>
      <c r="Y4" s="1044" t="s">
        <v>46</v>
      </c>
      <c r="Z4" s="1018">
        <v>45</v>
      </c>
      <c r="AA4" s="1046">
        <v>1</v>
      </c>
    </row>
    <row r="5" spans="2:27">
      <c r="B5" s="68" t="s">
        <v>12</v>
      </c>
      <c r="C5" s="1097" t="s">
        <v>745</v>
      </c>
      <c r="D5" s="51" t="s">
        <v>54</v>
      </c>
      <c r="E5" s="1098" t="s">
        <v>46</v>
      </c>
      <c r="F5" s="77"/>
      <c r="G5" s="77"/>
      <c r="H5" s="77"/>
      <c r="I5" s="34"/>
      <c r="K5" s="711"/>
      <c r="L5" s="77"/>
      <c r="M5" s="77"/>
      <c r="N5" s="77"/>
      <c r="O5" s="77"/>
      <c r="P5" s="77"/>
      <c r="Q5" s="77"/>
      <c r="R5" s="77"/>
      <c r="S5" s="77"/>
      <c r="T5" s="77"/>
      <c r="U5" s="34"/>
      <c r="Y5" s="1045" t="s">
        <v>45</v>
      </c>
      <c r="Z5" s="1018">
        <v>60</v>
      </c>
      <c r="AA5" s="1046">
        <v>2</v>
      </c>
    </row>
    <row r="6" spans="2:27" ht="13.5" customHeight="1">
      <c r="B6" s="68" t="s">
        <v>13</v>
      </c>
      <c r="C6" s="84" t="s">
        <v>78</v>
      </c>
      <c r="D6" s="84" t="s">
        <v>79</v>
      </c>
      <c r="E6" s="84" t="s">
        <v>79</v>
      </c>
      <c r="F6" s="77"/>
      <c r="G6" s="77"/>
      <c r="H6" s="77"/>
      <c r="I6" s="34"/>
      <c r="K6" s="1172" t="s">
        <v>110</v>
      </c>
      <c r="L6" s="1256"/>
      <c r="M6" s="77"/>
      <c r="N6" s="77"/>
      <c r="O6" s="77"/>
      <c r="P6" s="77"/>
      <c r="Q6" s="77"/>
      <c r="R6" s="77"/>
      <c r="S6" s="77"/>
      <c r="T6" s="77"/>
      <c r="U6" s="34"/>
      <c r="Y6" s="1045" t="s">
        <v>47</v>
      </c>
      <c r="Z6" s="1018">
        <v>75</v>
      </c>
      <c r="AA6" s="1046">
        <v>3</v>
      </c>
    </row>
    <row r="7" spans="2:27" ht="13.5" customHeight="1">
      <c r="B7" s="68"/>
      <c r="C7" s="1099">
        <v>105</v>
      </c>
      <c r="D7" s="1100">
        <v>105</v>
      </c>
      <c r="E7" s="1101">
        <f>105</f>
        <v>105</v>
      </c>
      <c r="F7" s="77"/>
      <c r="G7" s="77"/>
      <c r="H7" s="77"/>
      <c r="I7" s="34"/>
      <c r="K7" s="711"/>
      <c r="L7" s="77"/>
      <c r="M7" s="51" t="s">
        <v>114</v>
      </c>
      <c r="N7" s="51" t="s">
        <v>116</v>
      </c>
      <c r="O7" s="51" t="s">
        <v>115</v>
      </c>
      <c r="P7" s="77"/>
      <c r="Q7" s="77"/>
      <c r="R7" s="77"/>
      <c r="S7" s="77"/>
      <c r="T7" s="77"/>
      <c r="U7" s="34"/>
      <c r="Y7" s="1045" t="s">
        <v>48</v>
      </c>
      <c r="Z7" s="1018">
        <v>90</v>
      </c>
      <c r="AA7" s="1046">
        <v>4</v>
      </c>
    </row>
    <row r="8" spans="2:27">
      <c r="B8" s="230"/>
      <c r="C8" s="84"/>
      <c r="D8" s="47" t="s">
        <v>336</v>
      </c>
      <c r="E8" s="48" t="s">
        <v>250</v>
      </c>
      <c r="F8" s="77"/>
      <c r="G8" s="77"/>
      <c r="H8" s="77"/>
      <c r="I8" s="34"/>
      <c r="K8" s="797" t="s">
        <v>199</v>
      </c>
      <c r="L8" s="1136" t="s">
        <v>205</v>
      </c>
      <c r="M8" s="1077">
        <v>100</v>
      </c>
      <c r="N8" s="317"/>
      <c r="O8" s="317"/>
      <c r="P8" s="684"/>
      <c r="Q8" s="77"/>
      <c r="R8" s="77"/>
      <c r="S8" s="77"/>
      <c r="T8" s="77"/>
      <c r="U8" s="34"/>
      <c r="Y8" s="1045" t="s">
        <v>49</v>
      </c>
      <c r="Z8" s="1018">
        <v>105</v>
      </c>
      <c r="AA8" s="1046">
        <v>5</v>
      </c>
    </row>
    <row r="9" spans="2:27">
      <c r="B9" s="230" t="s">
        <v>80</v>
      </c>
      <c r="C9" s="208">
        <f>C4</f>
        <v>910</v>
      </c>
      <c r="D9" s="77" t="s">
        <v>4</v>
      </c>
      <c r="H9" s="41"/>
      <c r="I9" s="34"/>
      <c r="K9" s="711"/>
      <c r="L9" s="1136" t="s">
        <v>204</v>
      </c>
      <c r="M9" s="1077">
        <v>80</v>
      </c>
      <c r="N9" s="723"/>
      <c r="O9" s="723"/>
      <c r="P9" s="77"/>
      <c r="Q9" s="77"/>
      <c r="R9" s="77"/>
      <c r="S9" s="77"/>
      <c r="T9" s="77"/>
      <c r="U9" s="34"/>
      <c r="Y9" s="1045" t="s">
        <v>50</v>
      </c>
      <c r="Z9" s="1018">
        <v>120</v>
      </c>
      <c r="AA9" s="1046">
        <v>6</v>
      </c>
    </row>
    <row r="10" spans="2:27" ht="14.25" customHeight="1">
      <c r="B10" s="68" t="s">
        <v>239</v>
      </c>
      <c r="C10" s="209">
        <f>C4/1000</f>
        <v>0.91</v>
      </c>
      <c r="D10" s="77" t="s">
        <v>77</v>
      </c>
      <c r="H10" s="41"/>
      <c r="I10" s="34"/>
      <c r="K10" s="711"/>
      <c r="L10" s="1137"/>
      <c r="M10" s="1077">
        <v>0</v>
      </c>
      <c r="N10" s="723"/>
      <c r="O10" s="723"/>
      <c r="P10" s="77"/>
      <c r="Q10" s="77"/>
      <c r="R10" s="77"/>
      <c r="S10" s="77"/>
      <c r="T10" s="77"/>
      <c r="U10" s="34"/>
      <c r="Y10" s="1045" t="s">
        <v>51</v>
      </c>
      <c r="Z10" s="1046">
        <v>135</v>
      </c>
      <c r="AA10" s="1046">
        <v>7</v>
      </c>
    </row>
    <row r="11" spans="2:27" ht="13.9" customHeight="1">
      <c r="B11" s="230" t="s">
        <v>240</v>
      </c>
      <c r="C11" s="35">
        <f>(C4)*2/1000</f>
        <v>1.82</v>
      </c>
      <c r="D11" s="77" t="s">
        <v>77</v>
      </c>
      <c r="E11" s="77"/>
      <c r="F11" s="77"/>
      <c r="G11" s="77"/>
      <c r="H11" s="77"/>
      <c r="I11" s="34"/>
      <c r="K11" s="711"/>
      <c r="L11" s="1136" t="s">
        <v>746</v>
      </c>
      <c r="M11" s="1077">
        <v>40</v>
      </c>
      <c r="N11" s="723"/>
      <c r="O11" s="723"/>
      <c r="P11" s="77"/>
      <c r="Q11" s="77"/>
      <c r="R11" s="77"/>
      <c r="S11" s="77"/>
      <c r="T11" s="77"/>
      <c r="U11" s="34"/>
      <c r="Y11" s="1045" t="s">
        <v>52</v>
      </c>
      <c r="Z11" s="1046">
        <v>150</v>
      </c>
      <c r="AA11" s="1046">
        <v>8</v>
      </c>
    </row>
    <row r="12" spans="2:27" ht="13.15" customHeight="1">
      <c r="B12" s="466" t="s">
        <v>180</v>
      </c>
      <c r="C12" s="1241" t="s">
        <v>181</v>
      </c>
      <c r="D12" s="1203"/>
      <c r="E12" s="1203"/>
      <c r="F12" s="1203" t="s">
        <v>182</v>
      </c>
      <c r="G12" s="1203"/>
      <c r="H12" s="1203"/>
      <c r="I12" s="1242"/>
      <c r="K12" s="711"/>
      <c r="L12" s="1136" t="s">
        <v>748</v>
      </c>
      <c r="M12" s="1077">
        <v>50</v>
      </c>
      <c r="N12" s="941">
        <f>SUM(M8:M12)</f>
        <v>270</v>
      </c>
      <c r="O12" s="837">
        <f>+ROUNDUP(N12/5,-1)*5</f>
        <v>300</v>
      </c>
      <c r="P12" s="77"/>
      <c r="Q12" s="77"/>
      <c r="R12" s="77"/>
      <c r="S12" s="77"/>
      <c r="T12" s="77"/>
      <c r="U12" s="34"/>
      <c r="Y12" s="1045" t="s">
        <v>53</v>
      </c>
      <c r="Z12" s="1046">
        <v>180</v>
      </c>
      <c r="AA12" s="1046">
        <v>9</v>
      </c>
    </row>
    <row r="13" spans="2:27">
      <c r="B13" s="230"/>
      <c r="C13" s="84"/>
      <c r="D13" s="77"/>
      <c r="E13" s="77"/>
      <c r="F13" s="77"/>
      <c r="G13" s="77"/>
      <c r="H13" s="77"/>
      <c r="I13" s="34"/>
      <c r="K13" s="711"/>
      <c r="L13" s="795" t="s">
        <v>216</v>
      </c>
      <c r="M13" s="796"/>
      <c r="N13" s="350">
        <f>N12*$P$20</f>
        <v>290.7988995852632</v>
      </c>
      <c r="O13" s="776">
        <f>+ROUNDUP(N13/5,-1)*5</f>
        <v>300</v>
      </c>
      <c r="P13" s="77"/>
      <c r="Q13" s="77"/>
      <c r="R13" s="77"/>
      <c r="S13" s="77"/>
      <c r="T13" s="77"/>
      <c r="U13" s="34"/>
      <c r="Y13" s="1047">
        <v>910</v>
      </c>
      <c r="Z13" s="1046">
        <v>210</v>
      </c>
      <c r="AA13" s="1020">
        <v>1</v>
      </c>
    </row>
    <row r="14" spans="2:27">
      <c r="B14" s="108" t="s">
        <v>469</v>
      </c>
      <c r="C14" s="1250" t="s">
        <v>183</v>
      </c>
      <c r="D14" s="1236"/>
      <c r="H14" s="77"/>
      <c r="I14" s="34"/>
      <c r="K14" s="711"/>
      <c r="L14" s="679" t="s">
        <v>210</v>
      </c>
      <c r="M14" s="19" t="s">
        <v>127</v>
      </c>
      <c r="N14" s="77"/>
      <c r="O14" s="77"/>
      <c r="P14" s="77"/>
      <c r="Q14" s="77"/>
      <c r="R14" s="77"/>
      <c r="S14" s="77"/>
      <c r="T14" s="77"/>
      <c r="U14" s="34"/>
      <c r="Y14" s="1047">
        <v>950</v>
      </c>
      <c r="Z14" s="1046">
        <v>240</v>
      </c>
      <c r="AA14" s="1020">
        <v>1.1499999999999999</v>
      </c>
    </row>
    <row r="15" spans="2:27" ht="13.15" customHeight="1">
      <c r="B15" s="108" t="s">
        <v>195</v>
      </c>
      <c r="C15" s="1099" t="s">
        <v>189</v>
      </c>
      <c r="D15" s="77"/>
      <c r="E15" s="77"/>
      <c r="F15" s="77"/>
      <c r="G15" s="77"/>
      <c r="H15" s="172"/>
      <c r="I15" s="31"/>
      <c r="K15" s="711"/>
      <c r="L15" s="77"/>
      <c r="M15" s="77"/>
      <c r="N15" s="77"/>
      <c r="O15" s="77"/>
      <c r="P15" s="77"/>
      <c r="Q15" s="77"/>
      <c r="R15" s="77"/>
      <c r="S15" s="77"/>
      <c r="T15" s="77"/>
      <c r="U15" s="34"/>
      <c r="Y15" s="1047">
        <v>1000</v>
      </c>
      <c r="Z15" s="1046">
        <v>270</v>
      </c>
      <c r="AA15" s="1020">
        <v>1.25</v>
      </c>
    </row>
    <row r="16" spans="2:27">
      <c r="B16" s="310"/>
      <c r="D16" s="172"/>
      <c r="E16" s="172"/>
      <c r="F16" s="879"/>
      <c r="G16" s="172"/>
      <c r="H16" s="172"/>
      <c r="I16" s="31"/>
      <c r="K16" s="1172" t="s">
        <v>200</v>
      </c>
      <c r="L16" s="1256"/>
      <c r="M16" s="19"/>
      <c r="N16" s="19"/>
      <c r="O16" s="19"/>
      <c r="P16" s="19"/>
      <c r="Q16" s="19"/>
      <c r="R16" s="19"/>
      <c r="S16" s="19"/>
      <c r="T16" s="77"/>
      <c r="U16" s="34"/>
      <c r="Y16" s="1047">
        <v>985</v>
      </c>
      <c r="Z16" s="1046">
        <v>300</v>
      </c>
      <c r="AA16" s="1046"/>
    </row>
    <row r="17" spans="2:27">
      <c r="B17" s="466" t="s">
        <v>191</v>
      </c>
      <c r="C17" s="1102">
        <v>4</v>
      </c>
      <c r="D17" s="46" t="s">
        <v>211</v>
      </c>
      <c r="E17" s="210">
        <f>ATAN(C17/10)*180/PI()</f>
        <v>21.801409486351812</v>
      </c>
      <c r="F17" s="77" t="s">
        <v>207</v>
      </c>
      <c r="G17" s="172" t="s">
        <v>192</v>
      </c>
      <c r="H17" s="1094" t="s">
        <v>194</v>
      </c>
      <c r="I17" s="31"/>
      <c r="K17" s="521"/>
      <c r="L17" s="689" t="s">
        <v>218</v>
      </c>
      <c r="M17" s="155" t="str">
        <f>C14</f>
        <v>一般地(50cm)</v>
      </c>
      <c r="N17" s="689"/>
      <c r="O17" s="93" t="s">
        <v>331</v>
      </c>
      <c r="P17" s="689">
        <f>IF(M17="一般地(50cm)",20,30)</f>
        <v>20</v>
      </c>
      <c r="Q17" s="19" t="s">
        <v>461</v>
      </c>
      <c r="R17" s="400" t="s">
        <v>215</v>
      </c>
      <c r="S17" s="19"/>
      <c r="T17" s="19">
        <f>INDEX(data!D33:'data'!D36,MATCH(M17,data!A33:'data'!A36,0))*P17</f>
        <v>1000</v>
      </c>
      <c r="U17" s="89" t="s">
        <v>127</v>
      </c>
      <c r="Y17" s="1047" t="s">
        <v>722</v>
      </c>
      <c r="Z17" s="1046">
        <v>330</v>
      </c>
      <c r="AA17" s="1046"/>
    </row>
    <row r="18" spans="2:27">
      <c r="B18" s="68" t="s">
        <v>5</v>
      </c>
      <c r="C18" s="172">
        <v>2</v>
      </c>
      <c r="D18" s="77"/>
      <c r="E18" s="77"/>
      <c r="F18" s="77"/>
      <c r="G18" s="77"/>
      <c r="H18" s="77"/>
      <c r="I18" s="34"/>
      <c r="K18" s="521"/>
      <c r="L18" s="689" t="s">
        <v>219</v>
      </c>
      <c r="M18" s="689" t="str">
        <f>C15</f>
        <v>等　級　１</v>
      </c>
      <c r="N18" s="19"/>
      <c r="O18" s="19"/>
      <c r="P18" s="19"/>
      <c r="Q18" s="19"/>
      <c r="R18" s="19"/>
      <c r="S18" s="19"/>
      <c r="T18" s="77"/>
      <c r="U18" s="34"/>
      <c r="Y18" s="1048" t="s">
        <v>724</v>
      </c>
      <c r="Z18" s="1046">
        <v>360</v>
      </c>
      <c r="AA18" s="1046"/>
    </row>
    <row r="19" spans="2:27">
      <c r="B19" s="68" t="s">
        <v>7</v>
      </c>
      <c r="C19" s="208">
        <f>IF(D7&gt;300,(300/D7)^(1/9),1)</f>
        <v>1</v>
      </c>
      <c r="D19" s="77"/>
      <c r="E19" s="77"/>
      <c r="F19" s="77"/>
      <c r="G19" s="77"/>
      <c r="H19" s="77"/>
      <c r="I19" s="34"/>
      <c r="K19" s="521"/>
      <c r="L19" s="689" t="s">
        <v>201</v>
      </c>
      <c r="M19" s="689" t="s">
        <v>462</v>
      </c>
      <c r="N19" s="1257" t="s">
        <v>463</v>
      </c>
      <c r="O19" s="1258"/>
      <c r="P19" s="222">
        <f>IF(H17="あり",1,IF(E17&gt;60,0,COS(1.5*PI()/180*(E17))^0.5))</f>
        <v>0.91732810180472024</v>
      </c>
      <c r="Q19" s="19"/>
      <c r="R19" s="19"/>
      <c r="S19" s="19"/>
      <c r="T19" s="77"/>
      <c r="U19" s="34"/>
      <c r="Y19" s="1048" t="s">
        <v>728</v>
      </c>
      <c r="Z19" s="1046">
        <v>390</v>
      </c>
      <c r="AA19" s="1046"/>
    </row>
    <row r="20" spans="2:27" ht="14.25" thickBot="1">
      <c r="B20" s="823"/>
      <c r="C20" s="580"/>
      <c r="D20" s="77"/>
      <c r="E20" s="77"/>
      <c r="F20" s="77"/>
      <c r="G20" s="191"/>
      <c r="H20" s="191"/>
      <c r="I20" s="192"/>
      <c r="K20" s="521"/>
      <c r="L20" s="764" t="s">
        <v>217</v>
      </c>
      <c r="M20" s="19"/>
      <c r="N20" s="19"/>
      <c r="O20" s="19"/>
      <c r="P20" s="222">
        <f>(100+C17^2)^0.5/10</f>
        <v>1.0770329614269007</v>
      </c>
      <c r="Q20" s="19"/>
      <c r="R20" s="19"/>
      <c r="S20" s="19"/>
      <c r="T20" s="77"/>
      <c r="U20" s="34"/>
      <c r="Y20" s="1046" t="s">
        <v>183</v>
      </c>
      <c r="Z20" s="1060" t="s">
        <v>189</v>
      </c>
      <c r="AA20" s="1061" t="s">
        <v>187</v>
      </c>
    </row>
    <row r="21" spans="2:27">
      <c r="B21" s="68"/>
      <c r="C21" s="819"/>
      <c r="D21" s="707"/>
      <c r="E21" s="1063" t="s">
        <v>241</v>
      </c>
      <c r="F21" s="1063" t="s">
        <v>221</v>
      </c>
      <c r="G21" s="180"/>
      <c r="H21" s="180"/>
      <c r="I21" s="193"/>
      <c r="K21" s="521"/>
      <c r="L21" s="689" t="s">
        <v>202</v>
      </c>
      <c r="M21" s="1261" t="s">
        <v>332</v>
      </c>
      <c r="N21" s="1258"/>
      <c r="O21" s="1258"/>
      <c r="P21" s="1258"/>
      <c r="Q21" s="19">
        <f>ROUNDUP(T17*P19*IF(M17="一般地(50cm)",1,IF(M18="等　級　２",1.2,1)),0)</f>
        <v>918</v>
      </c>
      <c r="R21" s="19" t="s">
        <v>464</v>
      </c>
      <c r="S21" s="19"/>
      <c r="T21" s="77"/>
      <c r="U21" s="34"/>
      <c r="Y21" s="1046" t="s">
        <v>184</v>
      </c>
      <c r="Z21" s="1060" t="s">
        <v>190</v>
      </c>
      <c r="AA21" s="1062" t="s">
        <v>188</v>
      </c>
    </row>
    <row r="22" spans="2:27">
      <c r="B22" s="338" t="s">
        <v>225</v>
      </c>
      <c r="C22" s="795" t="s">
        <v>473</v>
      </c>
      <c r="D22" s="821">
        <f>P25</f>
        <v>300</v>
      </c>
      <c r="E22" s="822">
        <f>$C$9/1000</f>
        <v>0.91</v>
      </c>
      <c r="F22" s="820">
        <f>(D22)*(E22)</f>
        <v>273</v>
      </c>
      <c r="G22" s="891" t="s">
        <v>730</v>
      </c>
      <c r="H22" s="77"/>
      <c r="I22" s="34"/>
      <c r="K22" s="521"/>
      <c r="L22" s="689" t="s">
        <v>203</v>
      </c>
      <c r="M22" s="1261" t="s">
        <v>333</v>
      </c>
      <c r="N22" s="1258"/>
      <c r="O22" s="1258"/>
      <c r="P22" s="1258"/>
      <c r="Q22" s="19">
        <f>ROUNDUP(0.7*T17*P19*IF(M17="一般地(50cm)",1,IF(M18="等　級　２",1.2,1)),0)</f>
        <v>643</v>
      </c>
      <c r="R22" s="19" t="s">
        <v>464</v>
      </c>
      <c r="S22" s="19"/>
      <c r="T22" s="77"/>
      <c r="U22" s="34"/>
      <c r="Y22" s="1046" t="s">
        <v>185</v>
      </c>
      <c r="Z22" s="1062" t="s">
        <v>729</v>
      </c>
      <c r="AA22" s="1062" t="s">
        <v>118</v>
      </c>
    </row>
    <row r="23" spans="2:27">
      <c r="B23" s="36"/>
      <c r="C23" s="795" t="s">
        <v>223</v>
      </c>
      <c r="D23" s="821">
        <f>P26</f>
        <v>943</v>
      </c>
      <c r="E23" s="822">
        <f t="shared" ref="E23:E24" si="0">$C$9/1000</f>
        <v>0.91</v>
      </c>
      <c r="F23" s="820">
        <f>(D23)*(E23)</f>
        <v>858.13</v>
      </c>
      <c r="G23" s="891" t="s">
        <v>730</v>
      </c>
      <c r="H23" s="77"/>
      <c r="I23" s="34"/>
      <c r="K23" s="711"/>
      <c r="L23" s="77"/>
      <c r="M23" s="77"/>
      <c r="N23" s="77"/>
      <c r="O23" s="77"/>
      <c r="P23" s="77"/>
      <c r="Q23" s="77"/>
      <c r="R23" s="77"/>
      <c r="S23" s="77"/>
      <c r="T23" s="77"/>
      <c r="U23" s="34"/>
      <c r="Y23" s="1046" t="s">
        <v>186</v>
      </c>
      <c r="Z23" s="1062" t="s">
        <v>727</v>
      </c>
      <c r="AA23" s="1018"/>
    </row>
    <row r="24" spans="2:27">
      <c r="B24" s="36"/>
      <c r="C24" s="795" t="s">
        <v>224</v>
      </c>
      <c r="D24" s="821">
        <f>P27</f>
        <v>1218</v>
      </c>
      <c r="E24" s="822">
        <f t="shared" si="0"/>
        <v>0.91</v>
      </c>
      <c r="F24" s="820">
        <f>(D24)*(E24)</f>
        <v>1108.3800000000001</v>
      </c>
      <c r="G24" s="891" t="s">
        <v>730</v>
      </c>
      <c r="H24" s="77"/>
      <c r="I24" s="34"/>
      <c r="K24" s="42"/>
      <c r="L24" s="1251" t="s">
        <v>334</v>
      </c>
      <c r="M24" s="1238"/>
      <c r="N24" s="769" t="s">
        <v>124</v>
      </c>
      <c r="O24" s="770" t="s">
        <v>206</v>
      </c>
      <c r="P24" s="772"/>
      <c r="Q24" s="791"/>
      <c r="R24" s="2"/>
      <c r="S24" s="2"/>
      <c r="T24" s="2"/>
      <c r="U24" s="6"/>
    </row>
    <row r="25" spans="2:27">
      <c r="B25" s="705" t="s">
        <v>15</v>
      </c>
      <c r="C25" s="815">
        <f>(C7)*(D7)</f>
        <v>11025</v>
      </c>
      <c r="D25" s="816" t="s">
        <v>11</v>
      </c>
      <c r="E25" s="815">
        <f>(C7)*(E7)</f>
        <v>11025</v>
      </c>
      <c r="F25" s="817" t="s">
        <v>11</v>
      </c>
      <c r="G25" s="77"/>
      <c r="H25" s="77"/>
      <c r="I25" s="34"/>
      <c r="K25" s="42"/>
      <c r="L25" s="1251" t="s">
        <v>470</v>
      </c>
      <c r="M25" s="1252"/>
      <c r="N25" s="769">
        <f>O13</f>
        <v>300</v>
      </c>
      <c r="O25" s="790">
        <v>0</v>
      </c>
      <c r="P25" s="773">
        <f>(N25)+(O25)</f>
        <v>300</v>
      </c>
      <c r="Q25" s="792"/>
      <c r="R25" s="2"/>
      <c r="S25" s="2"/>
      <c r="T25" s="2"/>
      <c r="U25" s="6"/>
    </row>
    <row r="26" spans="2:27">
      <c r="B26" s="705" t="s">
        <v>14</v>
      </c>
      <c r="C26" s="815">
        <f>((C7)*(D7)*(D7))/6</f>
        <v>192937.5</v>
      </c>
      <c r="D26" s="816" t="s">
        <v>38</v>
      </c>
      <c r="E26" s="815">
        <f>((C7)*(E7)*(E7))/6</f>
        <v>192937.5</v>
      </c>
      <c r="F26" s="817" t="s">
        <v>38</v>
      </c>
      <c r="G26" s="77"/>
      <c r="H26" s="77"/>
      <c r="I26" s="34"/>
      <c r="K26" s="42"/>
      <c r="L26" s="1251" t="s">
        <v>471</v>
      </c>
      <c r="M26" s="1252"/>
      <c r="N26" s="769">
        <f>N25</f>
        <v>300</v>
      </c>
      <c r="O26" s="790">
        <f>Q22</f>
        <v>643</v>
      </c>
      <c r="P26" s="773">
        <f>(N26)+(O26)</f>
        <v>943</v>
      </c>
      <c r="Q26" s="792"/>
      <c r="R26" s="2"/>
      <c r="S26" s="2"/>
      <c r="T26" s="2"/>
      <c r="U26" s="6"/>
    </row>
    <row r="27" spans="2:27">
      <c r="B27" s="705" t="s">
        <v>10</v>
      </c>
      <c r="C27" s="815">
        <f>((C7)*(D7)*(D7)*(D7))/12</f>
        <v>10129218.75</v>
      </c>
      <c r="D27" s="816" t="s">
        <v>39</v>
      </c>
      <c r="E27" s="815">
        <f>((C7)*(E7)*(E7)*(E7))/12</f>
        <v>10129218.75</v>
      </c>
      <c r="F27" s="817" t="s">
        <v>39</v>
      </c>
      <c r="G27" s="77"/>
      <c r="H27" s="77"/>
      <c r="I27" s="34"/>
      <c r="K27" s="42"/>
      <c r="L27" s="1251" t="s">
        <v>472</v>
      </c>
      <c r="M27" s="1252"/>
      <c r="N27" s="769">
        <f>N25</f>
        <v>300</v>
      </c>
      <c r="O27" s="790">
        <f>Q21</f>
        <v>918</v>
      </c>
      <c r="P27" s="773">
        <f>(N27)+(O27)</f>
        <v>1218</v>
      </c>
      <c r="Q27" s="793" t="s">
        <v>121</v>
      </c>
      <c r="R27" s="2"/>
      <c r="S27" s="2"/>
      <c r="T27" s="2"/>
      <c r="U27" s="6"/>
    </row>
    <row r="28" spans="2:27" ht="14.25" thickBot="1">
      <c r="B28" s="814"/>
      <c r="C28" s="1253" t="s">
        <v>392</v>
      </c>
      <c r="D28" s="1254"/>
      <c r="E28" s="1255" t="s">
        <v>102</v>
      </c>
      <c r="F28" s="1254"/>
      <c r="G28" s="77"/>
      <c r="H28" s="191"/>
      <c r="I28" s="34"/>
      <c r="K28" s="42"/>
      <c r="L28" s="2"/>
      <c r="M28" s="14"/>
      <c r="N28" s="14"/>
      <c r="O28" s="14"/>
      <c r="P28" s="14"/>
      <c r="Q28" s="14"/>
      <c r="R28" s="14"/>
      <c r="S28" s="14"/>
      <c r="T28" s="14"/>
      <c r="U28" s="15"/>
    </row>
    <row r="29" spans="2:27" ht="15" thickTop="1" thickBot="1">
      <c r="B29" s="1243" t="s">
        <v>73</v>
      </c>
      <c r="C29" s="1244"/>
      <c r="D29" s="1245"/>
      <c r="E29" s="1246"/>
      <c r="F29" s="1226" t="s">
        <v>242</v>
      </c>
      <c r="G29" s="1247"/>
      <c r="H29" s="799" t="s">
        <v>445</v>
      </c>
      <c r="I29" s="806"/>
      <c r="J29" s="807" t="s">
        <v>267</v>
      </c>
      <c r="K29" s="807" t="s">
        <v>228</v>
      </c>
      <c r="L29" s="808" t="s">
        <v>229</v>
      </c>
    </row>
    <row r="30" spans="2:27" ht="15" thickTop="1" thickBot="1">
      <c r="B30" s="1262" t="s">
        <v>44</v>
      </c>
      <c r="C30" s="1263"/>
      <c r="D30" s="1262" t="s">
        <v>43</v>
      </c>
      <c r="E30" s="1263"/>
      <c r="F30" s="1248"/>
      <c r="G30" s="1249"/>
      <c r="H30" s="798"/>
      <c r="I30" s="809" t="s">
        <v>231</v>
      </c>
      <c r="J30" s="623" t="str">
        <f>(L44)</f>
        <v>◯</v>
      </c>
      <c r="K30" s="623" t="str">
        <f>(L48)</f>
        <v>◯</v>
      </c>
      <c r="L30" s="810" t="str">
        <f>(L52)</f>
        <v>◯</v>
      </c>
      <c r="M30" s="1264" t="s">
        <v>44</v>
      </c>
      <c r="N30" s="1176"/>
    </row>
    <row r="31" spans="2:27" ht="15" thickTop="1" thickBot="1">
      <c r="B31" s="800">
        <f>(C7)</f>
        <v>105</v>
      </c>
      <c r="C31" s="802">
        <f>(D7)</f>
        <v>105</v>
      </c>
      <c r="D31" s="803">
        <f>(C7)</f>
        <v>105</v>
      </c>
      <c r="E31" s="801">
        <f>(E7)</f>
        <v>105</v>
      </c>
      <c r="F31" s="1259">
        <f>IF(C14="一般地(50cm)",H54,H56)</f>
        <v>248.43</v>
      </c>
      <c r="G31" s="1260"/>
      <c r="H31" s="686"/>
      <c r="I31" s="809" t="s">
        <v>321</v>
      </c>
      <c r="J31" s="623" t="str">
        <f>(L63)</f>
        <v>◯</v>
      </c>
      <c r="K31" s="623" t="str">
        <f>(L67)</f>
        <v>◯</v>
      </c>
      <c r="L31" s="810" t="str">
        <f>(L71)</f>
        <v>◯</v>
      </c>
      <c r="M31" s="1265"/>
      <c r="N31" s="1196"/>
      <c r="T31" s="41"/>
      <c r="U31" s="41"/>
      <c r="V31" s="41"/>
    </row>
    <row r="32" spans="2:27" ht="15" thickTop="1" thickBot="1">
      <c r="I32" s="811" t="s">
        <v>343</v>
      </c>
      <c r="J32" s="812" t="str">
        <f>(L75)</f>
        <v>◯</v>
      </c>
      <c r="K32" s="812" t="str">
        <f>(L79)</f>
        <v>◯</v>
      </c>
      <c r="L32" s="813" t="str">
        <f>(L83)</f>
        <v>◯</v>
      </c>
      <c r="M32" s="1239" t="s">
        <v>43</v>
      </c>
      <c r="N32" s="1240"/>
      <c r="T32" s="41"/>
      <c r="U32" s="41"/>
      <c r="V32" s="41"/>
    </row>
    <row r="33" spans="2:22" ht="14.25" thickTop="1">
      <c r="B33" s="642" t="s">
        <v>330</v>
      </c>
      <c r="C33" s="221"/>
      <c r="D33" s="221"/>
      <c r="E33" s="180"/>
      <c r="F33" s="180"/>
      <c r="G33" s="180"/>
      <c r="H33" s="180"/>
      <c r="I33" s="77"/>
      <c r="J33" s="77"/>
      <c r="K33" s="77"/>
      <c r="L33" s="34"/>
      <c r="T33" s="41"/>
      <c r="U33" s="41"/>
      <c r="V33" s="41"/>
    </row>
    <row r="34" spans="2:22">
      <c r="B34" s="648" t="s">
        <v>221</v>
      </c>
      <c r="C34" s="781" t="s">
        <v>559</v>
      </c>
      <c r="D34" s="60" t="s">
        <v>560</v>
      </c>
      <c r="E34" s="212">
        <f>F22</f>
        <v>273</v>
      </c>
      <c r="F34" s="213">
        <f>($C$11)</f>
        <v>1.82</v>
      </c>
      <c r="G34" s="77" t="s">
        <v>88</v>
      </c>
      <c r="H34" s="41">
        <f>((E34)*(F34)*(F34))/8</f>
        <v>113.03565</v>
      </c>
      <c r="I34" s="77" t="s">
        <v>91</v>
      </c>
      <c r="J34" s="41"/>
      <c r="K34" s="77"/>
      <c r="L34" s="34"/>
      <c r="T34" s="41"/>
      <c r="U34" s="41"/>
      <c r="V34" s="41"/>
    </row>
    <row r="35" spans="2:22">
      <c r="B35" s="646"/>
      <c r="C35" s="782"/>
      <c r="D35" s="60"/>
      <c r="E35" s="17" t="s">
        <v>18</v>
      </c>
      <c r="F35" s="890" t="s">
        <v>92</v>
      </c>
      <c r="G35" s="77"/>
      <c r="H35" s="77"/>
      <c r="I35" s="77"/>
      <c r="J35" s="77"/>
      <c r="K35" s="77"/>
      <c r="L35" s="6"/>
    </row>
    <row r="36" spans="2:22">
      <c r="B36" s="647"/>
      <c r="C36" s="783" t="s">
        <v>328</v>
      </c>
      <c r="D36" s="60" t="s">
        <v>561</v>
      </c>
      <c r="E36" s="212">
        <f>(F23)</f>
        <v>858.13</v>
      </c>
      <c r="F36" s="213">
        <f>($C$11)</f>
        <v>1.82</v>
      </c>
      <c r="G36" s="77" t="s">
        <v>88</v>
      </c>
      <c r="H36" s="41">
        <f>((E36)*(F36)*(F36))/8</f>
        <v>355.30872650000003</v>
      </c>
      <c r="I36" s="77" t="s">
        <v>91</v>
      </c>
      <c r="J36" s="41"/>
      <c r="K36" s="77"/>
      <c r="L36" s="6"/>
      <c r="O36" s="2"/>
    </row>
    <row r="37" spans="2:22">
      <c r="B37" s="646"/>
      <c r="C37" s="782"/>
      <c r="D37" s="60"/>
      <c r="E37" s="17" t="s">
        <v>18</v>
      </c>
      <c r="F37" s="890" t="s">
        <v>92</v>
      </c>
      <c r="G37" s="77"/>
      <c r="H37" s="77"/>
      <c r="I37" s="77"/>
      <c r="J37" s="41"/>
      <c r="K37" s="77"/>
      <c r="L37" s="6"/>
    </row>
    <row r="38" spans="2:22">
      <c r="B38" s="647"/>
      <c r="C38" s="783" t="s">
        <v>329</v>
      </c>
      <c r="D38" s="60" t="s">
        <v>562</v>
      </c>
      <c r="E38" s="212">
        <f>(F24)</f>
        <v>1108.3800000000001</v>
      </c>
      <c r="F38" s="213">
        <f>($C$11)</f>
        <v>1.82</v>
      </c>
      <c r="G38" s="77" t="s">
        <v>88</v>
      </c>
      <c r="H38" s="41">
        <f>((E38)*(F38)*(F38))/8</f>
        <v>458.9247390000001</v>
      </c>
      <c r="I38" s="77" t="s">
        <v>91</v>
      </c>
      <c r="J38" s="41"/>
      <c r="K38" s="77"/>
      <c r="L38" s="6"/>
    </row>
    <row r="39" spans="2:22">
      <c r="B39" s="103"/>
      <c r="C39" s="182"/>
      <c r="D39" s="60"/>
      <c r="E39" s="17" t="s">
        <v>18</v>
      </c>
      <c r="F39" s="890" t="s">
        <v>92</v>
      </c>
      <c r="G39" s="77"/>
      <c r="H39" s="77"/>
      <c r="I39" s="77"/>
      <c r="J39" s="41"/>
      <c r="K39" s="77"/>
      <c r="L39" s="6"/>
    </row>
    <row r="40" spans="2:22">
      <c r="B40" s="992" t="s">
        <v>231</v>
      </c>
      <c r="C40" s="182"/>
      <c r="D40" s="41"/>
      <c r="E40" s="41"/>
      <c r="F40" s="41"/>
      <c r="G40" s="41"/>
      <c r="H40" s="41"/>
      <c r="I40" s="41"/>
      <c r="J40" s="41"/>
      <c r="K40" s="77"/>
      <c r="L40" s="6"/>
    </row>
    <row r="41" spans="2:22">
      <c r="B41" s="648" t="s">
        <v>221</v>
      </c>
      <c r="C41" s="781" t="s">
        <v>559</v>
      </c>
      <c r="D41" s="60" t="s">
        <v>552</v>
      </c>
      <c r="E41" s="60" t="s">
        <v>565</v>
      </c>
      <c r="F41" s="77" t="s">
        <v>21</v>
      </c>
      <c r="G41" s="41">
        <f>((H34)*1000)/(C26)</f>
        <v>0.58586666666666676</v>
      </c>
      <c r="H41" s="77" t="s">
        <v>20</v>
      </c>
      <c r="I41" s="41"/>
      <c r="J41" s="41"/>
      <c r="K41" s="77"/>
      <c r="L41" s="6"/>
    </row>
    <row r="42" spans="2:22">
      <c r="B42" s="11"/>
      <c r="C42" s="653"/>
      <c r="D42" s="84"/>
      <c r="E42" s="77"/>
      <c r="F42" s="77"/>
      <c r="G42" s="77"/>
      <c r="H42" s="84"/>
      <c r="I42" s="41"/>
      <c r="J42" s="77"/>
      <c r="K42" s="77"/>
      <c r="L42" s="6"/>
    </row>
    <row r="43" spans="2:22">
      <c r="B43" s="11"/>
      <c r="C43" s="653"/>
      <c r="D43" s="182"/>
      <c r="E43" s="171" t="s">
        <v>94</v>
      </c>
      <c r="F43" s="41" t="s">
        <v>89</v>
      </c>
      <c r="G43" s="214">
        <f>C19</f>
        <v>1</v>
      </c>
      <c r="H43" s="77">
        <f>1.1*(data!E14)/3</f>
        <v>13.019453333333333</v>
      </c>
      <c r="I43" s="215">
        <f>C19</f>
        <v>1</v>
      </c>
      <c r="J43" s="41">
        <f>(H43)*(I43)</f>
        <v>13.019453333333333</v>
      </c>
      <c r="K43" s="77"/>
      <c r="L43" s="6"/>
    </row>
    <row r="44" spans="2:22" ht="14.25" thickBot="1">
      <c r="B44" s="11"/>
      <c r="C44" s="653"/>
      <c r="D44" s="182"/>
      <c r="E44" s="84"/>
      <c r="F44" s="77"/>
      <c r="G44" s="84" t="s">
        <v>17</v>
      </c>
      <c r="H44" s="77"/>
      <c r="I44" s="84" t="s">
        <v>17</v>
      </c>
      <c r="J44" s="77"/>
      <c r="K44" s="175" t="s">
        <v>322</v>
      </c>
      <c r="L44" s="619" t="str">
        <f>IF(G41&lt;=J43,"◯","×")</f>
        <v>◯</v>
      </c>
    </row>
    <row r="45" spans="2:22">
      <c r="B45" s="11"/>
      <c r="C45" s="783" t="s">
        <v>328</v>
      </c>
      <c r="D45" s="60" t="s">
        <v>563</v>
      </c>
      <c r="E45" s="60" t="s">
        <v>566</v>
      </c>
      <c r="F45" s="77" t="s">
        <v>21</v>
      </c>
      <c r="G45" s="41">
        <f>((H36)*1000)/(C26)</f>
        <v>1.8415742222222224</v>
      </c>
      <c r="H45" s="77" t="s">
        <v>20</v>
      </c>
      <c r="I45" s="41"/>
      <c r="J45" s="41"/>
      <c r="K45" s="77"/>
      <c r="L45" s="6"/>
    </row>
    <row r="46" spans="2:22">
      <c r="B46" s="11"/>
      <c r="C46" s="1003"/>
      <c r="D46" s="84"/>
      <c r="E46" s="77"/>
      <c r="F46" s="77"/>
      <c r="G46" s="77"/>
      <c r="H46" s="84"/>
      <c r="I46" s="41"/>
      <c r="J46" s="77"/>
      <c r="K46" s="77"/>
      <c r="L46" s="6"/>
    </row>
    <row r="47" spans="2:22">
      <c r="B47" s="11"/>
      <c r="C47" s="1003"/>
      <c r="D47" s="182"/>
      <c r="E47" s="171" t="s">
        <v>94</v>
      </c>
      <c r="F47" s="182" t="s">
        <v>244</v>
      </c>
      <c r="G47" s="214">
        <f>C19</f>
        <v>1</v>
      </c>
      <c r="H47" s="77">
        <f>1.1*1.3*(data!E14)/3</f>
        <v>16.925289333333335</v>
      </c>
      <c r="I47" s="215">
        <f>C19</f>
        <v>1</v>
      </c>
      <c r="J47" s="41">
        <f>(H47)*(I47)</f>
        <v>16.925289333333335</v>
      </c>
      <c r="K47" s="77"/>
      <c r="L47" s="6"/>
    </row>
    <row r="48" spans="2:22" ht="14.25" thickBot="1">
      <c r="B48" s="11"/>
      <c r="C48" s="1003"/>
      <c r="D48" s="182"/>
      <c r="E48" s="84"/>
      <c r="F48" s="77"/>
      <c r="G48" s="84" t="s">
        <v>17</v>
      </c>
      <c r="H48" s="77"/>
      <c r="I48" s="84" t="s">
        <v>17</v>
      </c>
      <c r="J48" s="77"/>
      <c r="K48" s="175" t="s">
        <v>322</v>
      </c>
      <c r="L48" s="619" t="str">
        <f>IF(G45&lt;=J47,"◯","×")</f>
        <v>◯</v>
      </c>
    </row>
    <row r="49" spans="2:12" ht="13.15" customHeight="1">
      <c r="B49" s="11"/>
      <c r="C49" s="783" t="s">
        <v>329</v>
      </c>
      <c r="D49" s="60" t="s">
        <v>564</v>
      </c>
      <c r="E49" s="60" t="s">
        <v>567</v>
      </c>
      <c r="F49" s="77" t="s">
        <v>21</v>
      </c>
      <c r="G49" s="41">
        <f>((H38)*1000)/(C26)</f>
        <v>2.3786186666666671</v>
      </c>
      <c r="H49" s="77" t="s">
        <v>20</v>
      </c>
      <c r="I49" s="41"/>
      <c r="J49" s="41"/>
      <c r="K49" s="77"/>
      <c r="L49" s="6"/>
    </row>
    <row r="50" spans="2:12">
      <c r="B50" s="184"/>
      <c r="C50" s="182"/>
      <c r="D50" s="84"/>
      <c r="E50" s="77"/>
      <c r="F50" s="77"/>
      <c r="G50" s="77"/>
      <c r="H50" s="84"/>
      <c r="I50" s="41"/>
      <c r="J50" s="77"/>
      <c r="K50" s="77"/>
      <c r="L50" s="6"/>
    </row>
    <row r="51" spans="2:12">
      <c r="B51" s="184"/>
      <c r="C51" s="182"/>
      <c r="D51" s="182"/>
      <c r="E51" s="171" t="s">
        <v>94</v>
      </c>
      <c r="F51" s="182" t="s">
        <v>245</v>
      </c>
      <c r="G51" s="214">
        <f>C19</f>
        <v>1</v>
      </c>
      <c r="H51" s="77">
        <f>0.8*2*(data!E14)/3</f>
        <v>18.937386666666665</v>
      </c>
      <c r="I51" s="215">
        <f>C19</f>
        <v>1</v>
      </c>
      <c r="J51" s="41">
        <f>(H51)*(I51)</f>
        <v>18.937386666666665</v>
      </c>
      <c r="K51" s="77"/>
      <c r="L51" s="6"/>
    </row>
    <row r="52" spans="2:12" ht="14.25" thickBot="1">
      <c r="B52" s="189"/>
      <c r="C52" s="182"/>
      <c r="D52" s="182"/>
      <c r="E52" s="84"/>
      <c r="F52" s="77"/>
      <c r="G52" s="84" t="s">
        <v>17</v>
      </c>
      <c r="H52" s="77"/>
      <c r="I52" s="84" t="s">
        <v>17</v>
      </c>
      <c r="J52" s="77"/>
      <c r="K52" s="175" t="s">
        <v>322</v>
      </c>
      <c r="L52" s="619" t="str">
        <f>IF(G49&lt;=J51,"◯","×")</f>
        <v>◯</v>
      </c>
    </row>
    <row r="53" spans="2:12">
      <c r="B53" s="1016" t="s">
        <v>321</v>
      </c>
      <c r="C53" s="634"/>
      <c r="D53" s="634"/>
      <c r="E53" s="180"/>
      <c r="F53" s="180"/>
      <c r="G53" s="180"/>
      <c r="H53" s="180"/>
      <c r="I53" s="180"/>
      <c r="J53" s="180"/>
      <c r="K53" s="180"/>
      <c r="L53" s="4"/>
    </row>
    <row r="54" spans="2:12">
      <c r="B54" s="648" t="s">
        <v>221</v>
      </c>
      <c r="C54" s="781" t="s">
        <v>559</v>
      </c>
      <c r="D54" s="60" t="s">
        <v>568</v>
      </c>
      <c r="E54" s="212">
        <f>(F22)</f>
        <v>273</v>
      </c>
      <c r="F54" s="213">
        <f>($C$11)</f>
        <v>1.82</v>
      </c>
      <c r="G54" s="45" t="s">
        <v>95</v>
      </c>
      <c r="H54" s="41">
        <f>(E54)*(F54)/2</f>
        <v>248.43</v>
      </c>
      <c r="I54" s="77" t="s">
        <v>31</v>
      </c>
      <c r="J54" s="77"/>
      <c r="K54" s="77"/>
      <c r="L54" s="6"/>
    </row>
    <row r="55" spans="2:12">
      <c r="B55" s="207"/>
      <c r="C55" s="782"/>
      <c r="D55" s="84"/>
      <c r="E55" s="17" t="s">
        <v>18</v>
      </c>
      <c r="F55" s="890" t="s">
        <v>92</v>
      </c>
      <c r="G55" s="77"/>
      <c r="H55" s="77"/>
      <c r="I55" s="77"/>
      <c r="J55" s="77"/>
      <c r="K55" s="77"/>
      <c r="L55" s="6"/>
    </row>
    <row r="56" spans="2:12">
      <c r="B56" s="648"/>
      <c r="C56" s="783" t="s">
        <v>328</v>
      </c>
      <c r="D56" s="60" t="s">
        <v>569</v>
      </c>
      <c r="E56" s="212">
        <f>(F23)</f>
        <v>858.13</v>
      </c>
      <c r="F56" s="213">
        <f>($C$11)</f>
        <v>1.82</v>
      </c>
      <c r="G56" s="45" t="s">
        <v>95</v>
      </c>
      <c r="H56" s="41">
        <f>(E56)*(F56)/2</f>
        <v>780.89830000000006</v>
      </c>
      <c r="I56" s="77" t="s">
        <v>31</v>
      </c>
      <c r="J56" s="41"/>
      <c r="K56" s="77"/>
      <c r="L56" s="6"/>
    </row>
    <row r="57" spans="2:12">
      <c r="B57" s="207"/>
      <c r="C57" s="782"/>
      <c r="D57" s="84"/>
      <c r="E57" s="17" t="s">
        <v>18</v>
      </c>
      <c r="F57" s="890" t="s">
        <v>92</v>
      </c>
      <c r="G57" s="77"/>
      <c r="H57" s="77"/>
      <c r="I57" s="77"/>
      <c r="J57" s="41"/>
      <c r="K57" s="77"/>
      <c r="L57" s="6"/>
    </row>
    <row r="58" spans="2:12">
      <c r="B58" s="648"/>
      <c r="C58" s="783" t="s">
        <v>329</v>
      </c>
      <c r="D58" s="60" t="s">
        <v>570</v>
      </c>
      <c r="E58" s="212">
        <f>(F24)</f>
        <v>1108.3800000000001</v>
      </c>
      <c r="F58" s="213">
        <f>($C$11)</f>
        <v>1.82</v>
      </c>
      <c r="G58" s="45" t="s">
        <v>95</v>
      </c>
      <c r="H58" s="41">
        <f>(E58)*(F58)/2</f>
        <v>1008.6258000000001</v>
      </c>
      <c r="I58" s="77" t="s">
        <v>31</v>
      </c>
      <c r="J58" s="41"/>
      <c r="K58" s="77"/>
      <c r="L58" s="6"/>
    </row>
    <row r="59" spans="2:12">
      <c r="B59" s="184"/>
      <c r="C59" s="782"/>
      <c r="D59" s="84"/>
      <c r="E59" s="17" t="s">
        <v>18</v>
      </c>
      <c r="F59" s="890" t="s">
        <v>92</v>
      </c>
      <c r="G59" s="77"/>
      <c r="H59" s="77"/>
      <c r="I59" s="77"/>
      <c r="J59" s="41"/>
      <c r="K59" s="77"/>
      <c r="L59" s="6"/>
    </row>
    <row r="60" spans="2:12">
      <c r="B60" s="184"/>
      <c r="C60" s="782"/>
      <c r="D60" s="41"/>
      <c r="E60" s="41"/>
      <c r="F60" s="41"/>
      <c r="G60" s="41"/>
      <c r="H60" s="41"/>
      <c r="I60" s="41"/>
      <c r="J60" s="41"/>
      <c r="K60" s="77"/>
      <c r="L60" s="6"/>
    </row>
    <row r="61" spans="2:12">
      <c r="B61" s="647" t="s">
        <v>293</v>
      </c>
      <c r="C61" s="781" t="s">
        <v>559</v>
      </c>
      <c r="D61" s="60" t="s">
        <v>571</v>
      </c>
      <c r="E61" s="195" t="s">
        <v>32</v>
      </c>
      <c r="F61" s="41">
        <f>(H54)</f>
        <v>248.43</v>
      </c>
      <c r="G61" s="216">
        <f>($C$25)</f>
        <v>11025</v>
      </c>
      <c r="H61" s="77">
        <f>1.5*(F61)/(G61)</f>
        <v>3.3799999999999997E-2</v>
      </c>
      <c r="I61" s="84" t="s">
        <v>36</v>
      </c>
      <c r="J61" s="41"/>
      <c r="K61" s="77"/>
      <c r="L61" s="6"/>
    </row>
    <row r="62" spans="2:12">
      <c r="B62" s="184"/>
      <c r="C62" s="182"/>
      <c r="D62" s="84"/>
      <c r="E62" s="77"/>
      <c r="F62" s="77"/>
      <c r="G62" s="552" t="s">
        <v>315</v>
      </c>
      <c r="H62" s="41"/>
      <c r="I62" s="77"/>
      <c r="J62" s="41"/>
      <c r="K62" s="77"/>
      <c r="L62" s="6"/>
    </row>
    <row r="63" spans="2:12" ht="14.25" thickBot="1">
      <c r="B63" s="184"/>
      <c r="C63" s="182"/>
      <c r="D63" s="171" t="s">
        <v>94</v>
      </c>
      <c r="E63" s="41" t="s">
        <v>98</v>
      </c>
      <c r="F63" s="51" t="s">
        <v>99</v>
      </c>
      <c r="G63" s="41">
        <f>1.1*(data!H14)/3</f>
        <v>0.66</v>
      </c>
      <c r="H63" s="41"/>
      <c r="I63" s="77"/>
      <c r="J63" s="41"/>
      <c r="K63" s="175" t="s">
        <v>322</v>
      </c>
      <c r="L63" s="619" t="str">
        <f>IF(H61&lt;=G63,"◯","×")</f>
        <v>◯</v>
      </c>
    </row>
    <row r="64" spans="2:12">
      <c r="B64" s="184"/>
      <c r="C64" s="182"/>
      <c r="D64" s="41"/>
      <c r="E64" s="41"/>
      <c r="F64" s="41"/>
      <c r="G64" s="41"/>
      <c r="H64" s="41"/>
      <c r="I64" s="41"/>
      <c r="J64" s="41"/>
      <c r="K64" s="77"/>
      <c r="L64" s="6"/>
    </row>
    <row r="65" spans="2:12">
      <c r="B65" s="647"/>
      <c r="C65" s="783" t="s">
        <v>328</v>
      </c>
      <c r="D65" s="60" t="s">
        <v>572</v>
      </c>
      <c r="E65" s="195" t="s">
        <v>32</v>
      </c>
      <c r="F65" s="41">
        <f>(H56)</f>
        <v>780.89830000000006</v>
      </c>
      <c r="G65" s="216">
        <f>($C$25)</f>
        <v>11025</v>
      </c>
      <c r="H65" s="77">
        <f>1.5*(F65)/(G65)</f>
        <v>0.10624466666666668</v>
      </c>
      <c r="I65" s="84" t="s">
        <v>36</v>
      </c>
      <c r="J65" s="77"/>
      <c r="K65" s="77"/>
      <c r="L65" s="6"/>
    </row>
    <row r="66" spans="2:12">
      <c r="B66" s="184"/>
      <c r="C66" s="782"/>
      <c r="D66" s="84"/>
      <c r="E66" s="77"/>
      <c r="F66" s="77"/>
      <c r="G66" s="552" t="s">
        <v>315</v>
      </c>
      <c r="H66" s="41"/>
      <c r="I66" s="77"/>
      <c r="J66" s="77"/>
      <c r="K66" s="77"/>
      <c r="L66" s="6"/>
    </row>
    <row r="67" spans="2:12" ht="14.25" thickBot="1">
      <c r="B67" s="184"/>
      <c r="C67" s="782"/>
      <c r="D67" s="171" t="s">
        <v>94</v>
      </c>
      <c r="E67" s="182" t="s">
        <v>246</v>
      </c>
      <c r="F67" s="51" t="s">
        <v>99</v>
      </c>
      <c r="G67" s="41">
        <f>1.1*1.3*(data!H14)/3</f>
        <v>0.8580000000000001</v>
      </c>
      <c r="H67" s="41"/>
      <c r="I67" s="77"/>
      <c r="J67" s="77"/>
      <c r="K67" s="175" t="s">
        <v>322</v>
      </c>
      <c r="L67" s="619" t="str">
        <f>IF(H65&lt;=G67,"◯","×")</f>
        <v>◯</v>
      </c>
    </row>
    <row r="68" spans="2:12" ht="13.15" customHeight="1">
      <c r="B68" s="184"/>
      <c r="C68" s="653"/>
      <c r="D68" s="77"/>
      <c r="E68" s="77"/>
      <c r="F68" s="77"/>
      <c r="G68" s="77"/>
      <c r="H68" s="77"/>
      <c r="I68" s="77"/>
      <c r="J68" s="77"/>
      <c r="K68" s="77"/>
      <c r="L68" s="6"/>
    </row>
    <row r="69" spans="2:12">
      <c r="B69" s="647"/>
      <c r="C69" s="783" t="s">
        <v>329</v>
      </c>
      <c r="D69" s="60" t="s">
        <v>573</v>
      </c>
      <c r="E69" s="195" t="s">
        <v>32</v>
      </c>
      <c r="F69" s="41">
        <f>(H58)</f>
        <v>1008.6258000000001</v>
      </c>
      <c r="G69" s="216">
        <f>($C$25)</f>
        <v>11025</v>
      </c>
      <c r="H69" s="77">
        <f>1.5*(F69)/(G69)</f>
        <v>0.13722800000000002</v>
      </c>
      <c r="I69" s="84" t="s">
        <v>36</v>
      </c>
      <c r="J69" s="77"/>
      <c r="K69" s="77"/>
      <c r="L69" s="6"/>
    </row>
    <row r="70" spans="2:12">
      <c r="B70" s="184"/>
      <c r="C70" s="84"/>
      <c r="D70" s="84"/>
      <c r="E70" s="77"/>
      <c r="F70" s="77"/>
      <c r="G70" s="552" t="s">
        <v>315</v>
      </c>
      <c r="H70" s="41"/>
      <c r="I70" s="77"/>
      <c r="J70" s="77"/>
      <c r="K70" s="77"/>
      <c r="L70" s="6"/>
    </row>
    <row r="71" spans="2:12" ht="14.25" thickBot="1">
      <c r="B71" s="189"/>
      <c r="C71" s="190"/>
      <c r="D71" s="171" t="s">
        <v>94</v>
      </c>
      <c r="E71" s="41" t="s">
        <v>247</v>
      </c>
      <c r="F71" s="51" t="s">
        <v>99</v>
      </c>
      <c r="G71" s="41">
        <f>0.8*2*(data!H14)/3</f>
        <v>0.96000000000000008</v>
      </c>
      <c r="H71" s="41"/>
      <c r="I71" s="77"/>
      <c r="J71" s="191"/>
      <c r="K71" s="175" t="s">
        <v>322</v>
      </c>
      <c r="L71" s="619" t="str">
        <f>IF(H69&lt;=G71,"◯","×")</f>
        <v>◯</v>
      </c>
    </row>
    <row r="72" spans="2:12">
      <c r="B72" s="1016" t="s">
        <v>122</v>
      </c>
      <c r="C72" s="634"/>
      <c r="D72" s="634"/>
      <c r="E72" s="180"/>
      <c r="F72" s="180"/>
      <c r="G72" s="180"/>
      <c r="H72" s="180"/>
      <c r="I72" s="180"/>
      <c r="J72" s="180"/>
      <c r="K72" s="180"/>
      <c r="L72" s="4"/>
    </row>
    <row r="73" spans="2:12">
      <c r="B73" s="784" t="s">
        <v>327</v>
      </c>
      <c r="C73" s="60" t="s">
        <v>574</v>
      </c>
      <c r="D73" s="196">
        <f>F22</f>
        <v>273</v>
      </c>
      <c r="E73" s="213">
        <f>(C11)</f>
        <v>1.82</v>
      </c>
      <c r="F73" s="41" t="s">
        <v>163</v>
      </c>
      <c r="G73" s="41">
        <f>data!E20</f>
        <v>7.2972799999999998</v>
      </c>
      <c r="H73" s="217">
        <f>E27</f>
        <v>10129218.75</v>
      </c>
      <c r="I73" s="182" t="s">
        <v>105</v>
      </c>
      <c r="J73" s="218">
        <f>(5*(D73)*(E73)^4)/(384*1000*(G73)*(H73))*1000000000*2</f>
        <v>1.0553099033957658</v>
      </c>
      <c r="K73" s="84" t="s">
        <v>104</v>
      </c>
      <c r="L73" s="6"/>
    </row>
    <row r="74" spans="2:12">
      <c r="B74" s="787"/>
      <c r="C74" s="84"/>
      <c r="D74" s="573" t="s">
        <v>71</v>
      </c>
      <c r="E74" s="890" t="s">
        <v>92</v>
      </c>
      <c r="F74" s="41"/>
      <c r="G74" s="19" t="s">
        <v>37</v>
      </c>
      <c r="H74" s="172" t="s">
        <v>40</v>
      </c>
      <c r="I74" s="84" t="s">
        <v>66</v>
      </c>
      <c r="J74" s="41"/>
      <c r="K74" s="77"/>
      <c r="L74" s="6"/>
    </row>
    <row r="75" spans="2:12" ht="14.25" thickBot="1">
      <c r="B75" s="787"/>
      <c r="C75" s="219" t="s">
        <v>94</v>
      </c>
      <c r="D75" s="220" t="s">
        <v>68</v>
      </c>
      <c r="E75" s="218">
        <f>1000*(C11)/150</f>
        <v>12.133333333333333</v>
      </c>
      <c r="F75" s="41" t="s">
        <v>248</v>
      </c>
      <c r="G75" s="41"/>
      <c r="H75" s="41"/>
      <c r="I75" s="41"/>
      <c r="J75" s="77"/>
      <c r="K75" s="175" t="s">
        <v>322</v>
      </c>
      <c r="L75" s="619" t="str">
        <f>IF(J73&lt;=E75,"◯","×")</f>
        <v>◯</v>
      </c>
    </row>
    <row r="76" spans="2:12">
      <c r="B76" s="787"/>
      <c r="C76" s="182"/>
      <c r="D76" s="41"/>
      <c r="E76" s="41"/>
      <c r="F76" s="41"/>
      <c r="G76" s="77"/>
      <c r="H76" s="77"/>
      <c r="I76" s="77"/>
      <c r="J76" s="77"/>
      <c r="K76" s="77"/>
      <c r="L76" s="6"/>
    </row>
    <row r="77" spans="2:12">
      <c r="B77" s="786" t="s">
        <v>328</v>
      </c>
      <c r="C77" s="60" t="s">
        <v>575</v>
      </c>
      <c r="D77" s="196">
        <f>F23</f>
        <v>858.13</v>
      </c>
      <c r="E77" s="213">
        <f>(C11)</f>
        <v>1.82</v>
      </c>
      <c r="F77" s="41" t="s">
        <v>163</v>
      </c>
      <c r="G77" s="41">
        <f>data!E20</f>
        <v>7.2972799999999998</v>
      </c>
      <c r="H77" s="217">
        <f>E27</f>
        <v>10129218.75</v>
      </c>
      <c r="I77" s="182" t="s">
        <v>105</v>
      </c>
      <c r="J77" s="218">
        <f>(5*(D77)*(E77)^4)/(384*1000*(G77)*(H77))*1000000000*2</f>
        <v>3.3171907963406899</v>
      </c>
      <c r="K77" s="84" t="s">
        <v>104</v>
      </c>
      <c r="L77" s="6"/>
    </row>
    <row r="78" spans="2:12">
      <c r="B78" s="787"/>
      <c r="C78" s="84"/>
      <c r="D78" s="573" t="s">
        <v>71</v>
      </c>
      <c r="E78" s="890" t="s">
        <v>92</v>
      </c>
      <c r="F78" s="41"/>
      <c r="G78" s="19" t="s">
        <v>37</v>
      </c>
      <c r="H78" s="172" t="s">
        <v>40</v>
      </c>
      <c r="I78" s="84" t="s">
        <v>66</v>
      </c>
      <c r="J78" s="41"/>
      <c r="K78" s="77"/>
      <c r="L78" s="6"/>
    </row>
    <row r="79" spans="2:12" ht="14.25" thickBot="1">
      <c r="B79" s="787"/>
      <c r="C79" s="219" t="s">
        <v>94</v>
      </c>
      <c r="D79" s="220" t="s">
        <v>68</v>
      </c>
      <c r="E79" s="41">
        <f>1000*(C11)/100</f>
        <v>18.2</v>
      </c>
      <c r="F79" s="41" t="s">
        <v>249</v>
      </c>
      <c r="G79" s="41"/>
      <c r="H79" s="41"/>
      <c r="I79" s="41"/>
      <c r="J79" s="77"/>
      <c r="K79" s="175" t="s">
        <v>322</v>
      </c>
      <c r="L79" s="619" t="str">
        <f>IF(J77&lt;=E79,"◯","×")</f>
        <v>◯</v>
      </c>
    </row>
    <row r="80" spans="2:12">
      <c r="B80" s="787"/>
      <c r="C80" s="84"/>
      <c r="D80" s="77"/>
      <c r="E80" s="77"/>
      <c r="F80" s="77"/>
      <c r="G80" s="77"/>
      <c r="H80" s="77"/>
      <c r="I80" s="77"/>
      <c r="J80" s="77"/>
      <c r="K80" s="77"/>
      <c r="L80" s="6"/>
    </row>
    <row r="81" spans="2:12">
      <c r="B81" s="786" t="s">
        <v>329</v>
      </c>
      <c r="C81" s="60" t="s">
        <v>576</v>
      </c>
      <c r="D81" s="196">
        <f>F24</f>
        <v>1108.3800000000001</v>
      </c>
      <c r="E81" s="213">
        <f>(C11)</f>
        <v>1.82</v>
      </c>
      <c r="F81" s="41" t="s">
        <v>163</v>
      </c>
      <c r="G81" s="41">
        <f>data!E20</f>
        <v>7.2972799999999998</v>
      </c>
      <c r="H81" s="217">
        <f>E27</f>
        <v>10129218.75</v>
      </c>
      <c r="I81" s="182" t="s">
        <v>105</v>
      </c>
      <c r="J81" s="218">
        <f>(5*(D81)*(E81)^4)/(384*1000*(G81)*(H81))*1000000000*2</f>
        <v>4.2845582077868096</v>
      </c>
      <c r="K81" s="84" t="s">
        <v>104</v>
      </c>
      <c r="L81" s="6"/>
    </row>
    <row r="82" spans="2:12">
      <c r="B82" s="184"/>
      <c r="C82" s="84"/>
      <c r="D82" s="573" t="s">
        <v>71</v>
      </c>
      <c r="E82" s="890" t="s">
        <v>92</v>
      </c>
      <c r="F82" s="41"/>
      <c r="G82" s="19" t="s">
        <v>37</v>
      </c>
      <c r="H82" s="172" t="s">
        <v>40</v>
      </c>
      <c r="I82" s="84" t="s">
        <v>66</v>
      </c>
      <c r="J82" s="41"/>
      <c r="K82" s="77"/>
      <c r="L82" s="6"/>
    </row>
    <row r="83" spans="2:12" ht="14.25" thickBot="1">
      <c r="B83" s="184"/>
      <c r="C83" s="219" t="s">
        <v>94</v>
      </c>
      <c r="D83" s="220" t="s">
        <v>68</v>
      </c>
      <c r="E83" s="41">
        <f>1000*(C11)/100</f>
        <v>18.2</v>
      </c>
      <c r="F83" s="41" t="s">
        <v>249</v>
      </c>
      <c r="G83" s="41"/>
      <c r="H83" s="41"/>
      <c r="I83" s="41"/>
      <c r="J83" s="77"/>
      <c r="K83" s="175" t="s">
        <v>322</v>
      </c>
      <c r="L83" s="619" t="str">
        <f>IF(J81&lt;=E83,"◯","×")</f>
        <v>◯</v>
      </c>
    </row>
    <row r="84" spans="2:12" ht="5.45" customHeight="1" thickBot="1">
      <c r="B84" s="189"/>
      <c r="C84" s="190"/>
      <c r="D84" s="191"/>
      <c r="E84" s="191"/>
      <c r="F84" s="191"/>
      <c r="G84" s="191"/>
      <c r="H84" s="191"/>
      <c r="I84" s="191"/>
      <c r="J84" s="191"/>
      <c r="K84" s="191"/>
      <c r="L84" s="15"/>
    </row>
  </sheetData>
  <sheetProtection password="DC49" sheet="1" objects="1" scenarios="1" selectLockedCells="1"/>
  <mergeCells count="23">
    <mergeCell ref="K6:L6"/>
    <mergeCell ref="M21:P21"/>
    <mergeCell ref="B2:E2"/>
    <mergeCell ref="K4:L4"/>
    <mergeCell ref="B30:C30"/>
    <mergeCell ref="D30:E30"/>
    <mergeCell ref="M22:P22"/>
    <mergeCell ref="M30:N31"/>
    <mergeCell ref="M32:N32"/>
    <mergeCell ref="C12:E12"/>
    <mergeCell ref="F12:I12"/>
    <mergeCell ref="B29:E29"/>
    <mergeCell ref="F29:G30"/>
    <mergeCell ref="C14:D14"/>
    <mergeCell ref="L26:M26"/>
    <mergeCell ref="L27:M27"/>
    <mergeCell ref="C28:D28"/>
    <mergeCell ref="E28:F28"/>
    <mergeCell ref="K16:L16"/>
    <mergeCell ref="L24:M24"/>
    <mergeCell ref="L25:M25"/>
    <mergeCell ref="N19:O19"/>
    <mergeCell ref="F31:G31"/>
  </mergeCells>
  <phoneticPr fontId="1"/>
  <dataValidations count="9">
    <dataValidation type="list" allowBlank="1" showInputMessage="1" showErrorMessage="1" sqref="C15" xr:uid="{00000000-0002-0000-0600-000000000000}">
      <formula1>$Z$20:$Z$21</formula1>
    </dataValidation>
    <dataValidation type="list" allowBlank="1" showInputMessage="1" showErrorMessage="1" sqref="C14:D14" xr:uid="{00000000-0002-0000-0600-000001000000}">
      <formula1>$Y$20:$Y$23</formula1>
    </dataValidation>
    <dataValidation allowBlank="1" showInputMessage="1" showErrorMessage="1" promptTitle="sei" sqref="Z4:Z9" xr:uid="{00000000-0002-0000-0600-000002000000}"/>
    <dataValidation type="list" allowBlank="1" showInputMessage="1" showErrorMessage="1" sqref="C4" xr:uid="{00000000-0002-0000-0600-000003000000}">
      <formula1>$Y$13:$Y$16</formula1>
    </dataValidation>
    <dataValidation type="list" allowBlank="1" showInputMessage="1" showErrorMessage="1" sqref="C5" xr:uid="{00000000-0002-0000-0600-000004000000}">
      <formula1>$Y$17:$Y$19</formula1>
    </dataValidation>
    <dataValidation type="list" allowBlank="1" showInputMessage="1" showErrorMessage="1" sqref="E5" xr:uid="{00000000-0002-0000-0600-000005000000}">
      <formula1>$Y$4:$Y$12</formula1>
    </dataValidation>
    <dataValidation type="list" allowBlank="1" showInputMessage="1" showErrorMessage="1" sqref="C7:E7" xr:uid="{00000000-0002-0000-0600-000006000000}">
      <formula1>$Z$7:$Z$8</formula1>
    </dataValidation>
    <dataValidation type="list" allowBlank="1" showInputMessage="1" showErrorMessage="1" sqref="C17" xr:uid="{00000000-0002-0000-0600-000007000000}">
      <formula1>$AA$4:$AA$9</formula1>
    </dataValidation>
    <dataValidation type="list" allowBlank="1" showInputMessage="1" showErrorMessage="1" sqref="H17" xr:uid="{00000000-0002-0000-0600-000008000000}">
      <formula1>$Z$22:$Z$23</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600-000009000000}">
          <x14:formula1>
            <xm:f>data!$B$33:$B$34</xm:f>
          </x14:formula1>
          <xm:sqref>C15</xm:sqref>
        </x14:dataValidation>
        <x14:dataValidation type="list" allowBlank="1" showInputMessage="1" showErrorMessage="1" xr:uid="{00000000-0002-0000-0600-00000A000000}">
          <x14:formula1>
            <xm:f>data!$A$33:$A$36</xm:f>
          </x14:formula1>
          <xm:sqref>C14:E14</xm:sqref>
        </x14:dataValidation>
        <x14:dataValidation type="list" allowBlank="1" showInputMessage="1" showErrorMessage="1" xr:uid="{00000000-0002-0000-0600-00000B000000}">
          <x14:formula1>
            <xm:f>data!$A$15:$A$17</xm:f>
          </x14:formula1>
          <xm:sqref>C5</xm:sqref>
        </x14:dataValidation>
        <x14:dataValidation type="list" allowBlank="1" showInputMessage="1" showErrorMessage="1" xr:uid="{00000000-0002-0000-0600-00000C000000}">
          <x14:formula1>
            <xm:f>data!$B$14:$B$15</xm:f>
          </x14:formula1>
          <xm:sqref>C7</xm:sqref>
        </x14:dataValidation>
        <x14:dataValidation type="list" allowBlank="1" showInputMessage="1" showErrorMessage="1" xr:uid="{00000000-0002-0000-0600-00000D000000}">
          <x14:formula1>
            <xm:f>data!$A$11:$A$14</xm:f>
          </x14:formula1>
          <xm:sqref>C4</xm:sqref>
        </x14:dataValidation>
        <x14:dataValidation type="list" allowBlank="1" showInputMessage="1" showErrorMessage="1" xr:uid="{00000000-0002-0000-0600-00000E000000}">
          <x14:formula1>
            <xm:f>data!$A$2:$A$10</xm:f>
          </x14:formula1>
          <xm:sqref>E5</xm:sqref>
        </x14:dataValidation>
        <x14:dataValidation type="list" allowBlank="1" showInputMessage="1" showErrorMessage="1" xr:uid="{00000000-0002-0000-0600-00000F000000}">
          <x14:formula1>
            <xm:f>data!$A$37:$A$42</xm:f>
          </x14:formula1>
          <xm:sqref>C17</xm:sqref>
        </x14:dataValidation>
        <x14:dataValidation type="list" allowBlank="1" showInputMessage="1" showErrorMessage="1" xr:uid="{00000000-0002-0000-0600-000010000000}">
          <x14:formula1>
            <xm:f>data!$B$35:$B$36</xm:f>
          </x14:formula1>
          <xm:sqref>H17</xm:sqref>
        </x14:dataValidation>
        <x14:dataValidation type="list" allowBlank="1" showInputMessage="1" showErrorMessage="1" xr:uid="{00000000-0002-0000-0600-000011000000}">
          <x14:formula1>
            <xm:f>data!$B$14:$B$17</xm:f>
          </x14:formula1>
          <xm:sqref>C31 E31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AB428"/>
  <sheetViews>
    <sheetView showGridLines="0" showRowColHeaders="0" zoomScale="130" zoomScaleNormal="130" workbookViewId="0">
      <selection activeCell="C4" sqref="C4"/>
    </sheetView>
  </sheetViews>
  <sheetFormatPr defaultRowHeight="13.5"/>
  <cols>
    <col min="1" max="1" width="1.875" customWidth="1"/>
    <col min="2" max="3" width="8.75" style="1" customWidth="1"/>
    <col min="4" max="4" width="8.875" customWidth="1"/>
    <col min="5" max="6" width="8.75" customWidth="1"/>
    <col min="7" max="7" width="8.875" customWidth="1"/>
    <col min="8" max="8" width="10.625" customWidth="1"/>
    <col min="9" max="10" width="8.75" customWidth="1"/>
    <col min="11" max="11" width="10.75" customWidth="1"/>
    <col min="12" max="13" width="8.75" customWidth="1"/>
    <col min="14" max="14" width="9.25" customWidth="1"/>
    <col min="15" max="15" width="8.75" customWidth="1"/>
    <col min="16" max="16" width="10.5" customWidth="1"/>
    <col min="18" max="18" width="9.5" bestFit="1" customWidth="1"/>
    <col min="19" max="19" width="9.25" customWidth="1"/>
    <col min="20" max="21" width="9.125" bestFit="1" customWidth="1"/>
    <col min="23" max="23" width="9.125" bestFit="1" customWidth="1"/>
  </cols>
  <sheetData>
    <row r="2" spans="2:10" ht="21">
      <c r="B2" s="1210" t="s">
        <v>287</v>
      </c>
      <c r="C2" s="1211"/>
      <c r="D2" s="1211"/>
      <c r="E2" s="1211"/>
      <c r="F2" s="49"/>
      <c r="I2" s="974" t="s">
        <v>495</v>
      </c>
      <c r="J2" s="975" t="s">
        <v>496</v>
      </c>
    </row>
    <row r="3" spans="2:10" ht="14.25" thickBot="1"/>
    <row r="4" spans="2:10">
      <c r="B4" s="179" t="s">
        <v>0</v>
      </c>
      <c r="C4" s="1096">
        <v>910</v>
      </c>
      <c r="D4" s="180" t="s">
        <v>4</v>
      </c>
      <c r="E4" s="180"/>
      <c r="F4" s="180"/>
      <c r="G4" s="180"/>
      <c r="H4" s="193"/>
    </row>
    <row r="5" spans="2:10">
      <c r="B5" s="68" t="s">
        <v>12</v>
      </c>
      <c r="C5" s="1097" t="s">
        <v>745</v>
      </c>
      <c r="D5" s="51" t="s">
        <v>54</v>
      </c>
      <c r="E5" s="1098" t="s">
        <v>46</v>
      </c>
      <c r="F5" s="77"/>
      <c r="G5" s="77"/>
      <c r="H5" s="34"/>
    </row>
    <row r="6" spans="2:10">
      <c r="B6" s="68" t="s">
        <v>13</v>
      </c>
      <c r="C6" s="84" t="s">
        <v>78</v>
      </c>
      <c r="D6" s="84" t="s">
        <v>79</v>
      </c>
      <c r="E6" s="84" t="s">
        <v>79</v>
      </c>
      <c r="F6" s="41"/>
      <c r="G6" s="41"/>
      <c r="H6" s="34"/>
    </row>
    <row r="7" spans="2:10" ht="13.9" customHeight="1">
      <c r="B7" s="68"/>
      <c r="C7" s="1099">
        <v>105</v>
      </c>
      <c r="D7" s="1100">
        <v>105</v>
      </c>
      <c r="E7" s="1101">
        <v>105</v>
      </c>
      <c r="F7" s="41"/>
      <c r="G7" s="41"/>
      <c r="H7" s="34"/>
    </row>
    <row r="8" spans="2:10">
      <c r="B8" s="230"/>
      <c r="C8" s="182"/>
      <c r="D8" s="47" t="s">
        <v>479</v>
      </c>
      <c r="E8" s="48" t="s">
        <v>480</v>
      </c>
      <c r="F8" s="41"/>
      <c r="G8" s="41"/>
      <c r="H8" s="34"/>
    </row>
    <row r="9" spans="2:10">
      <c r="B9" s="840" t="s">
        <v>80</v>
      </c>
      <c r="C9" s="860">
        <f>C4</f>
        <v>910</v>
      </c>
      <c r="D9" s="817" t="s">
        <v>4</v>
      </c>
      <c r="E9" s="774" t="s">
        <v>252</v>
      </c>
      <c r="F9" s="861">
        <f>(C4)*2/1000</f>
        <v>1.82</v>
      </c>
      <c r="G9" s="817" t="s">
        <v>77</v>
      </c>
      <c r="H9" s="34"/>
    </row>
    <row r="10" spans="2:10" ht="15" customHeight="1">
      <c r="B10" s="705" t="s">
        <v>282</v>
      </c>
      <c r="C10" s="861">
        <f>(C4)/1000</f>
        <v>0.91</v>
      </c>
      <c r="D10" s="817" t="s">
        <v>77</v>
      </c>
      <c r="E10" s="818" t="s">
        <v>251</v>
      </c>
      <c r="F10" s="862">
        <f>INDEX(data!E24:'data'!E27,MATCH(G14,data!D24:'data'!D27,0))</f>
        <v>1.82</v>
      </c>
      <c r="G10" s="817" t="s">
        <v>77</v>
      </c>
      <c r="H10" s="34"/>
    </row>
    <row r="11" spans="2:10" ht="13.5" customHeight="1">
      <c r="B11" s="68" t="s">
        <v>5</v>
      </c>
      <c r="C11" s="198">
        <v>2</v>
      </c>
      <c r="D11" s="77"/>
      <c r="E11" s="51" t="s">
        <v>454</v>
      </c>
      <c r="F11" s="1103">
        <v>0.4</v>
      </c>
      <c r="G11" s="886"/>
      <c r="H11" s="887"/>
    </row>
    <row r="12" spans="2:10" ht="15" customHeight="1">
      <c r="B12" s="1280" t="s">
        <v>107</v>
      </c>
      <c r="C12" s="863" t="s">
        <v>96</v>
      </c>
      <c r="D12" s="859" t="s">
        <v>90</v>
      </c>
      <c r="E12" s="316" t="s">
        <v>103</v>
      </c>
      <c r="F12" s="45"/>
      <c r="G12" s="888"/>
      <c r="H12" s="887"/>
    </row>
    <row r="13" spans="2:10">
      <c r="B13" s="1281"/>
      <c r="C13" s="1087">
        <v>1</v>
      </c>
      <c r="D13" s="1087">
        <v>1</v>
      </c>
      <c r="E13" s="1087">
        <v>1</v>
      </c>
      <c r="F13" s="199"/>
      <c r="G13" s="198" t="s">
        <v>134</v>
      </c>
      <c r="H13" s="34"/>
    </row>
    <row r="14" spans="2:10">
      <c r="B14" s="68" t="s">
        <v>7</v>
      </c>
      <c r="C14" s="225">
        <f>IF(C58&gt;300,(300/C58)^(1/9),1)</f>
        <v>1</v>
      </c>
      <c r="D14" s="51"/>
      <c r="F14" s="195" t="s">
        <v>135</v>
      </c>
      <c r="G14" s="1098" t="s">
        <v>305</v>
      </c>
      <c r="H14" s="50" t="s">
        <v>253</v>
      </c>
    </row>
    <row r="15" spans="2:10" ht="13.5" customHeight="1">
      <c r="B15" s="230"/>
      <c r="C15" s="84"/>
      <c r="D15" s="77"/>
      <c r="E15" s="77"/>
      <c r="F15" s="77"/>
      <c r="G15" s="77"/>
      <c r="H15" s="34"/>
    </row>
    <row r="16" spans="2:10">
      <c r="B16" s="68" t="s">
        <v>180</v>
      </c>
      <c r="C16" s="1223" t="s">
        <v>181</v>
      </c>
      <c r="D16" s="1223"/>
      <c r="E16" s="1223"/>
      <c r="F16" s="1167" t="s">
        <v>182</v>
      </c>
      <c r="G16" s="1278"/>
      <c r="H16" s="1279"/>
      <c r="I16" s="42"/>
    </row>
    <row r="17" spans="2:28" ht="14.25" customHeight="1">
      <c r="B17" s="230"/>
      <c r="C17" s="84"/>
      <c r="D17" s="77"/>
      <c r="E17" s="77"/>
      <c r="F17" s="77"/>
      <c r="G17" s="77"/>
      <c r="H17" s="77"/>
      <c r="I17" s="5"/>
    </row>
    <row r="18" spans="2:28">
      <c r="B18" s="108" t="s">
        <v>469</v>
      </c>
      <c r="C18" s="1250" t="s">
        <v>183</v>
      </c>
      <c r="D18" s="1236"/>
      <c r="H18" s="77"/>
      <c r="I18" s="42"/>
      <c r="J18" s="2"/>
      <c r="K18" s="2"/>
      <c r="L18" s="824" t="s">
        <v>254</v>
      </c>
      <c r="M18" s="2"/>
      <c r="N18" s="2"/>
      <c r="O18" s="2"/>
      <c r="P18" s="2"/>
    </row>
    <row r="19" spans="2:28" ht="14.25" thickBot="1">
      <c r="B19" s="108" t="s">
        <v>195</v>
      </c>
      <c r="C19" s="1099" t="s">
        <v>189</v>
      </c>
      <c r="D19" s="77"/>
      <c r="E19" s="77"/>
      <c r="F19" s="77"/>
      <c r="G19" s="77"/>
      <c r="H19" s="198"/>
      <c r="I19" s="42"/>
      <c r="J19" s="2"/>
      <c r="K19" s="2"/>
      <c r="N19" s="687"/>
      <c r="O19" s="687"/>
      <c r="P19" s="2"/>
    </row>
    <row r="20" spans="2:28">
      <c r="B20" s="310"/>
      <c r="D20" s="198"/>
      <c r="E20" s="198"/>
      <c r="F20" s="203"/>
      <c r="G20" s="198"/>
      <c r="H20" s="198"/>
      <c r="I20" s="5"/>
      <c r="J20" s="1168" t="s">
        <v>109</v>
      </c>
      <c r="K20" s="1270"/>
      <c r="L20" s="3"/>
      <c r="M20" s="3"/>
      <c r="N20" s="3"/>
      <c r="O20" s="3"/>
      <c r="P20" s="3"/>
      <c r="Q20" s="3"/>
      <c r="R20" s="3"/>
      <c r="S20" s="3"/>
      <c r="T20" s="4"/>
    </row>
    <row r="21" spans="2:28" ht="13.5" customHeight="1">
      <c r="B21" s="68" t="s">
        <v>191</v>
      </c>
      <c r="C21" s="1102">
        <v>4</v>
      </c>
      <c r="D21" s="46" t="s">
        <v>211</v>
      </c>
      <c r="E21" s="210">
        <f>ATAN(C21/10)*180/PI()</f>
        <v>21.801409486351812</v>
      </c>
      <c r="F21" s="77" t="s">
        <v>207</v>
      </c>
      <c r="G21" s="198" t="s">
        <v>192</v>
      </c>
      <c r="H21" s="1104" t="s">
        <v>243</v>
      </c>
      <c r="I21" s="42"/>
      <c r="J21" s="42"/>
      <c r="K21" s="2"/>
      <c r="L21" s="2"/>
      <c r="M21" s="2"/>
      <c r="N21" s="2"/>
      <c r="O21" s="2"/>
      <c r="P21" s="2"/>
      <c r="Q21" s="2"/>
      <c r="R21" s="2"/>
      <c r="S21" s="2"/>
      <c r="T21" s="6"/>
      <c r="X21" s="2"/>
      <c r="Y21" s="2"/>
      <c r="Z21" s="1044" t="s">
        <v>46</v>
      </c>
      <c r="AA21" s="1018">
        <v>45</v>
      </c>
      <c r="AB21" s="1046">
        <v>1</v>
      </c>
    </row>
    <row r="22" spans="2:28">
      <c r="B22" s="858"/>
      <c r="C22" s="84"/>
      <c r="D22" s="77"/>
      <c r="E22" s="77"/>
      <c r="F22" s="77"/>
      <c r="G22" s="77"/>
      <c r="H22" s="77"/>
      <c r="I22" s="42"/>
      <c r="J22" s="1172" t="s">
        <v>110</v>
      </c>
      <c r="K22" s="1173"/>
      <c r="L22" s="2"/>
      <c r="M22" s="2"/>
      <c r="N22" s="2"/>
      <c r="O22" s="2"/>
      <c r="P22" s="2"/>
      <c r="Q22" s="2"/>
      <c r="R22" s="2"/>
      <c r="S22" s="2"/>
      <c r="T22" s="6"/>
      <c r="X22" s="2"/>
      <c r="Y22" s="2"/>
      <c r="Z22" s="1045" t="s">
        <v>45</v>
      </c>
      <c r="AA22" s="1018">
        <v>60</v>
      </c>
      <c r="AB22" s="1046">
        <v>2</v>
      </c>
    </row>
    <row r="23" spans="2:28" ht="13.5" customHeight="1">
      <c r="B23" s="226" t="s">
        <v>263</v>
      </c>
      <c r="C23" s="227" t="s">
        <v>264</v>
      </c>
      <c r="D23" s="55" t="s">
        <v>265</v>
      </c>
      <c r="E23" s="228"/>
      <c r="F23" s="228"/>
      <c r="G23" s="228"/>
      <c r="H23" s="229"/>
      <c r="I23" s="42"/>
      <c r="J23" s="42"/>
      <c r="K23" s="829"/>
      <c r="L23" s="830" t="s">
        <v>114</v>
      </c>
      <c r="M23" s="830" t="s">
        <v>116</v>
      </c>
      <c r="N23" s="830" t="s">
        <v>115</v>
      </c>
      <c r="O23" s="2"/>
      <c r="P23" s="829"/>
      <c r="Q23" s="830" t="s">
        <v>114</v>
      </c>
      <c r="R23" s="830" t="s">
        <v>116</v>
      </c>
      <c r="S23" s="830" t="s">
        <v>115</v>
      </c>
      <c r="T23" s="6"/>
      <c r="X23" s="2"/>
      <c r="Y23" s="2"/>
      <c r="Z23" s="1045" t="s">
        <v>47</v>
      </c>
      <c r="AA23" s="1018">
        <v>75</v>
      </c>
      <c r="AB23" s="1046">
        <v>3</v>
      </c>
    </row>
    <row r="24" spans="2:28">
      <c r="B24" s="230"/>
      <c r="C24" s="182"/>
      <c r="D24" s="47" t="s">
        <v>266</v>
      </c>
      <c r="E24" s="194">
        <f>(F11)*(C7)*(D7)*9.8/1000</f>
        <v>43.218000000000004</v>
      </c>
      <c r="F24" s="51" t="s">
        <v>265</v>
      </c>
      <c r="G24" s="77"/>
      <c r="H24" s="34"/>
      <c r="I24" s="42"/>
      <c r="J24" s="797" t="s">
        <v>199</v>
      </c>
      <c r="K24" s="1138" t="s">
        <v>205</v>
      </c>
      <c r="L24" s="1105">
        <v>100</v>
      </c>
      <c r="M24" s="833"/>
      <c r="N24" s="833"/>
      <c r="O24" s="689" t="s">
        <v>474</v>
      </c>
      <c r="P24" s="1141" t="s">
        <v>259</v>
      </c>
      <c r="Q24" s="717">
        <v>40</v>
      </c>
      <c r="R24" s="833"/>
      <c r="S24" s="833"/>
      <c r="T24" s="6"/>
      <c r="X24" s="2"/>
      <c r="Y24" s="2"/>
      <c r="Z24" s="1045" t="s">
        <v>48</v>
      </c>
      <c r="AA24" s="1018">
        <v>90</v>
      </c>
      <c r="AB24" s="1046">
        <v>4</v>
      </c>
    </row>
    <row r="25" spans="2:28">
      <c r="B25" s="230"/>
      <c r="C25" s="182"/>
      <c r="D25" s="41" t="s">
        <v>256</v>
      </c>
      <c r="E25" s="196">
        <f>O44</f>
        <v>200</v>
      </c>
      <c r="F25" s="51" t="s">
        <v>265</v>
      </c>
      <c r="G25" s="41"/>
      <c r="H25" s="34"/>
      <c r="I25" s="42"/>
      <c r="J25" s="42"/>
      <c r="K25" s="1139" t="s">
        <v>204</v>
      </c>
      <c r="L25" s="1105">
        <v>80</v>
      </c>
      <c r="M25" s="834"/>
      <c r="N25" s="834"/>
      <c r="O25" s="2"/>
      <c r="P25" s="1142" t="s">
        <v>260</v>
      </c>
      <c r="Q25" s="717">
        <v>30</v>
      </c>
      <c r="R25" s="834"/>
      <c r="S25" s="834"/>
      <c r="T25" s="6"/>
      <c r="X25" s="71"/>
      <c r="Y25" s="71"/>
      <c r="Z25" s="1045" t="s">
        <v>49</v>
      </c>
      <c r="AA25" s="1018">
        <v>105</v>
      </c>
      <c r="AB25" s="1046">
        <v>5</v>
      </c>
    </row>
    <row r="26" spans="2:28" ht="13.5" customHeight="1">
      <c r="B26" s="68"/>
      <c r="C26" s="182"/>
      <c r="D26" s="55" t="s">
        <v>281</v>
      </c>
      <c r="E26" s="231">
        <f>($E$24+$E$25)</f>
        <v>243.21800000000002</v>
      </c>
      <c r="F26" s="51" t="s">
        <v>265</v>
      </c>
      <c r="G26" s="41" t="s">
        <v>267</v>
      </c>
      <c r="H26" s="34"/>
      <c r="J26" s="42"/>
      <c r="K26" s="1140"/>
      <c r="L26" s="1105">
        <v>0</v>
      </c>
      <c r="M26" s="834"/>
      <c r="N26" s="834"/>
      <c r="O26" s="2"/>
      <c r="P26" s="1142" t="s">
        <v>261</v>
      </c>
      <c r="Q26" s="717">
        <v>100</v>
      </c>
      <c r="R26" s="835"/>
      <c r="S26" s="835"/>
      <c r="T26" s="6"/>
      <c r="X26" s="72"/>
      <c r="Y26" s="72"/>
      <c r="Z26" s="1045" t="s">
        <v>50</v>
      </c>
      <c r="AA26" s="1018">
        <v>120</v>
      </c>
      <c r="AB26" s="1046">
        <v>6</v>
      </c>
    </row>
    <row r="27" spans="2:28" ht="13.5" customHeight="1">
      <c r="B27" s="201"/>
      <c r="C27" s="182"/>
      <c r="D27" s="41"/>
      <c r="E27" s="41"/>
      <c r="F27" s="41"/>
      <c r="G27" s="41"/>
      <c r="H27" s="34"/>
      <c r="J27" s="42"/>
      <c r="K27" s="1139" t="s">
        <v>746</v>
      </c>
      <c r="L27" s="1105">
        <v>40</v>
      </c>
      <c r="M27" s="834"/>
      <c r="N27" s="834"/>
      <c r="O27" s="2"/>
      <c r="P27" s="1142" t="s">
        <v>262</v>
      </c>
      <c r="Q27" s="717">
        <v>30</v>
      </c>
      <c r="R27" s="831">
        <f>SUM(Q24:Q27)</f>
        <v>200</v>
      </c>
      <c r="S27" s="831">
        <f>+ROUNDUP(R27/5,-1)*5</f>
        <v>200</v>
      </c>
      <c r="T27" s="6"/>
      <c r="X27" s="70"/>
      <c r="Y27" s="70"/>
      <c r="Z27" s="1045" t="s">
        <v>51</v>
      </c>
      <c r="AA27" s="1046">
        <v>135</v>
      </c>
      <c r="AB27" s="1046">
        <v>7</v>
      </c>
    </row>
    <row r="28" spans="2:28">
      <c r="B28" s="201"/>
      <c r="C28" s="1291" t="s">
        <v>268</v>
      </c>
      <c r="D28" s="1292"/>
      <c r="E28" s="232">
        <f>(G38)*3/($F$10)</f>
        <v>818.99999999999989</v>
      </c>
      <c r="F28" s="56" t="s">
        <v>271</v>
      </c>
      <c r="G28" s="233" t="s">
        <v>267</v>
      </c>
      <c r="H28" s="234" t="s">
        <v>269</v>
      </c>
      <c r="J28" s="42"/>
      <c r="K28" s="1139" t="s">
        <v>747</v>
      </c>
      <c r="L28" s="1105">
        <v>50</v>
      </c>
      <c r="M28" s="836">
        <f>SUM(L24:L28)</f>
        <v>270</v>
      </c>
      <c r="N28" s="837">
        <f>+ROUNDUP(M28/5,-1)*5</f>
        <v>300</v>
      </c>
      <c r="O28" s="2"/>
      <c r="P28" s="400" t="s">
        <v>258</v>
      </c>
      <c r="Q28" s="19" t="s">
        <v>127</v>
      </c>
      <c r="R28" s="2"/>
      <c r="S28" s="2"/>
      <c r="T28" s="6"/>
      <c r="X28" s="70"/>
      <c r="Y28" s="70"/>
      <c r="Z28" s="1045" t="s">
        <v>52</v>
      </c>
      <c r="AA28" s="1046">
        <v>150</v>
      </c>
      <c r="AB28" s="1046">
        <v>8</v>
      </c>
    </row>
    <row r="29" spans="2:28">
      <c r="B29" s="68"/>
      <c r="C29" s="182"/>
      <c r="D29" s="41"/>
      <c r="E29" s="232">
        <f>(G39)*3/($F$10)</f>
        <v>2574.3900000000003</v>
      </c>
      <c r="F29" s="45" t="s">
        <v>271</v>
      </c>
      <c r="G29" s="41" t="s">
        <v>228</v>
      </c>
      <c r="H29" s="34"/>
      <c r="J29" s="42"/>
      <c r="K29" s="832" t="s">
        <v>216</v>
      </c>
      <c r="L29" s="726"/>
      <c r="M29" s="350">
        <f>M28*$O$36</f>
        <v>290.7988995852632</v>
      </c>
      <c r="N29" s="776">
        <f>+ROUNDUP(M29/5,-1)*5</f>
        <v>300</v>
      </c>
      <c r="O29" s="2"/>
      <c r="P29" s="2"/>
      <c r="Q29" s="2"/>
      <c r="R29" s="2"/>
      <c r="S29" s="2"/>
      <c r="T29" s="6"/>
      <c r="X29" s="2"/>
      <c r="Y29" s="2"/>
      <c r="Z29" s="1045" t="s">
        <v>53</v>
      </c>
      <c r="AA29" s="1046">
        <v>180</v>
      </c>
      <c r="AB29" s="1046">
        <v>9</v>
      </c>
    </row>
    <row r="30" spans="2:28">
      <c r="B30" s="230"/>
      <c r="C30" s="182"/>
      <c r="D30" s="41"/>
      <c r="E30" s="232">
        <f>(G40)*3/($F$10)</f>
        <v>3325.1400000000003</v>
      </c>
      <c r="F30" s="45" t="s">
        <v>271</v>
      </c>
      <c r="G30" s="41" t="s">
        <v>229</v>
      </c>
      <c r="H30" s="34"/>
      <c r="J30" s="42"/>
      <c r="K30" s="690" t="s">
        <v>210</v>
      </c>
      <c r="L30" s="19" t="s">
        <v>127</v>
      </c>
      <c r="M30" s="2"/>
      <c r="N30" s="2"/>
      <c r="O30" s="2"/>
      <c r="P30" s="2"/>
      <c r="Q30" s="2"/>
      <c r="R30" s="2"/>
      <c r="S30" s="2"/>
      <c r="T30" s="6"/>
      <c r="X30" s="2"/>
      <c r="Y30" s="2"/>
      <c r="Z30" s="1047">
        <v>910</v>
      </c>
      <c r="AA30" s="1046">
        <v>210</v>
      </c>
      <c r="AB30" s="1020">
        <v>1</v>
      </c>
    </row>
    <row r="31" spans="2:28">
      <c r="B31" s="230"/>
      <c r="C31" s="182"/>
      <c r="D31" s="41"/>
      <c r="E31" s="232">
        <f>(G38)*4/($F$10)</f>
        <v>1092</v>
      </c>
      <c r="F31" s="45" t="s">
        <v>271</v>
      </c>
      <c r="G31" s="41" t="s">
        <v>267</v>
      </c>
      <c r="H31" s="235" t="s">
        <v>270</v>
      </c>
      <c r="J31" s="42"/>
      <c r="K31" s="2"/>
      <c r="L31" s="2"/>
      <c r="M31" s="2"/>
      <c r="N31" s="2"/>
      <c r="O31" s="2"/>
      <c r="P31" s="2"/>
      <c r="Q31" s="2"/>
      <c r="R31" s="2"/>
      <c r="S31" s="2"/>
      <c r="T31" s="6"/>
      <c r="X31" s="2"/>
      <c r="Y31" s="2"/>
      <c r="Z31" s="1047">
        <v>950</v>
      </c>
      <c r="AA31" s="1046">
        <v>240</v>
      </c>
      <c r="AB31" s="1020">
        <v>1.1499999999999999</v>
      </c>
    </row>
    <row r="32" spans="2:28">
      <c r="B32" s="68"/>
      <c r="C32" s="182"/>
      <c r="D32" s="41"/>
      <c r="E32" s="232">
        <f>(G39)*4/($F$10)</f>
        <v>3432.52</v>
      </c>
      <c r="F32" s="45" t="s">
        <v>271</v>
      </c>
      <c r="G32" s="41" t="s">
        <v>228</v>
      </c>
      <c r="H32" s="34"/>
      <c r="J32" s="1271" t="s">
        <v>200</v>
      </c>
      <c r="K32" s="1173"/>
      <c r="L32" s="2"/>
      <c r="M32" s="2"/>
      <c r="N32" s="2"/>
      <c r="O32" s="2"/>
      <c r="P32" s="2"/>
      <c r="Q32" s="2"/>
      <c r="R32" s="2"/>
      <c r="S32" s="2"/>
      <c r="T32" s="6"/>
      <c r="X32" s="2"/>
      <c r="Y32" s="2"/>
      <c r="Z32" s="1047">
        <v>1000</v>
      </c>
      <c r="AA32" s="1046">
        <v>270</v>
      </c>
      <c r="AB32" s="1020">
        <v>1.25</v>
      </c>
    </row>
    <row r="33" spans="2:28">
      <c r="B33" s="230"/>
      <c r="C33" s="182"/>
      <c r="D33" s="41"/>
      <c r="E33" s="232">
        <f>(G40)*4/($F$10)</f>
        <v>4433.5200000000004</v>
      </c>
      <c r="F33" s="45" t="s">
        <v>271</v>
      </c>
      <c r="G33" s="41" t="s">
        <v>229</v>
      </c>
      <c r="H33" s="34"/>
      <c r="J33" s="42"/>
      <c r="K33" s="689" t="s">
        <v>218</v>
      </c>
      <c r="L33" s="1232" t="str">
        <f>C18</f>
        <v>一般地(50cm)</v>
      </c>
      <c r="M33" s="1232"/>
      <c r="N33" s="400" t="s">
        <v>213</v>
      </c>
      <c r="O33" s="689">
        <f>IF(L33="一般地(50cm)",20,30)</f>
        <v>20</v>
      </c>
      <c r="P33" s="400" t="s">
        <v>475</v>
      </c>
      <c r="Q33" s="1261" t="s">
        <v>215</v>
      </c>
      <c r="R33" s="1274"/>
      <c r="S33" s="19">
        <f>INDEX(data!I23:'data'!I26,MATCH(L33,data!H23:'data'!H26,0))*O33</f>
        <v>1000</v>
      </c>
      <c r="T33" s="89" t="s">
        <v>127</v>
      </c>
      <c r="X33" s="2"/>
      <c r="Y33" s="2"/>
      <c r="Z33" s="1047">
        <v>985</v>
      </c>
      <c r="AA33" s="1046">
        <v>300</v>
      </c>
      <c r="AB33" s="1060" t="s">
        <v>731</v>
      </c>
    </row>
    <row r="34" spans="2:28">
      <c r="B34" s="230"/>
      <c r="C34" s="182"/>
      <c r="D34" s="41"/>
      <c r="E34" s="41"/>
      <c r="F34" s="41"/>
      <c r="G34" s="41"/>
      <c r="H34" s="41"/>
      <c r="I34" s="42"/>
      <c r="J34" s="42"/>
      <c r="K34" s="689" t="s">
        <v>219</v>
      </c>
      <c r="L34" s="688" t="str">
        <f>C19</f>
        <v>等　級　１</v>
      </c>
      <c r="M34" s="399"/>
      <c r="N34" s="399"/>
      <c r="O34" s="399"/>
      <c r="P34" s="399"/>
      <c r="Q34" s="399"/>
      <c r="R34" s="399"/>
      <c r="S34" s="2"/>
      <c r="T34" s="6"/>
      <c r="X34" s="2"/>
      <c r="Y34" s="2"/>
      <c r="Z34" s="1047" t="s">
        <v>722</v>
      </c>
      <c r="AA34" s="1046">
        <v>330</v>
      </c>
      <c r="AB34" s="1060" t="s">
        <v>719</v>
      </c>
    </row>
    <row r="35" spans="2:28">
      <c r="B35" s="230"/>
      <c r="C35" s="53" t="s">
        <v>143</v>
      </c>
      <c r="D35" s="54" t="s">
        <v>272</v>
      </c>
      <c r="E35" s="236"/>
      <c r="F35" s="236"/>
      <c r="G35" s="236"/>
      <c r="H35" s="236"/>
      <c r="I35" s="42"/>
      <c r="J35" s="42"/>
      <c r="K35" s="689" t="s">
        <v>201</v>
      </c>
      <c r="L35" s="688" t="s">
        <v>462</v>
      </c>
      <c r="M35" s="1257" t="s">
        <v>463</v>
      </c>
      <c r="N35" s="1274"/>
      <c r="O35" s="222">
        <f>IF(H21="あり",1,IF(E21&gt;60,0,COS(1.5*PI()/180*(E21))^0.5))</f>
        <v>0.91732810180472024</v>
      </c>
      <c r="P35" s="2"/>
      <c r="Q35" s="2"/>
      <c r="R35" s="2"/>
      <c r="S35" s="2"/>
      <c r="T35" s="6"/>
      <c r="X35" s="2"/>
      <c r="Y35" s="2"/>
      <c r="Z35" s="1048" t="s">
        <v>712</v>
      </c>
      <c r="AA35" s="1046">
        <v>360</v>
      </c>
      <c r="AB35" s="1060" t="s">
        <v>732</v>
      </c>
    </row>
    <row r="36" spans="2:28">
      <c r="B36" s="230"/>
      <c r="C36" s="199" t="s">
        <v>273</v>
      </c>
      <c r="D36" s="41"/>
      <c r="E36" s="45" t="s">
        <v>276</v>
      </c>
      <c r="F36" s="45"/>
      <c r="G36" s="41"/>
      <c r="H36" s="77"/>
      <c r="I36" s="42"/>
      <c r="J36" s="42"/>
      <c r="K36" s="764" t="s">
        <v>217</v>
      </c>
      <c r="L36" s="399"/>
      <c r="M36" s="399"/>
      <c r="N36" s="399"/>
      <c r="O36" s="402">
        <f>(100+C21^2)^0.5/10</f>
        <v>1.0770329614269007</v>
      </c>
      <c r="P36" s="2"/>
      <c r="Q36" s="2"/>
      <c r="R36" s="2"/>
      <c r="S36" s="2"/>
      <c r="T36" s="6"/>
      <c r="X36" s="2"/>
      <c r="Y36" s="2"/>
      <c r="Z36" s="1048" t="s">
        <v>728</v>
      </c>
      <c r="AA36" s="1046">
        <v>390</v>
      </c>
      <c r="AB36" s="1060" t="s">
        <v>721</v>
      </c>
    </row>
    <row r="37" spans="2:28">
      <c r="B37" s="68"/>
      <c r="C37" s="45" t="s">
        <v>274</v>
      </c>
      <c r="D37" s="182" t="s">
        <v>275</v>
      </c>
      <c r="E37" s="45" t="s">
        <v>277</v>
      </c>
      <c r="F37" s="102" t="s">
        <v>278</v>
      </c>
      <c r="G37" s="45" t="s">
        <v>283</v>
      </c>
      <c r="H37" s="41"/>
      <c r="I37" s="42"/>
      <c r="J37" s="42"/>
      <c r="K37" s="689" t="s">
        <v>202</v>
      </c>
      <c r="L37" s="1261" t="s">
        <v>340</v>
      </c>
      <c r="M37" s="1274"/>
      <c r="N37" s="1274"/>
      <c r="O37" s="1274"/>
      <c r="P37" s="19">
        <f>ROUNDUP(S33*O35*IF(L33="一般地(50cm)",1,IF(L34="等　級　２",1.2,1)),0)</f>
        <v>918</v>
      </c>
      <c r="Q37" s="19" t="s">
        <v>127</v>
      </c>
      <c r="R37" s="2"/>
      <c r="S37" s="2"/>
      <c r="T37" s="6"/>
      <c r="X37" s="2"/>
      <c r="Y37" s="2"/>
      <c r="Z37" s="1046" t="s">
        <v>183</v>
      </c>
      <c r="AA37" s="1060" t="s">
        <v>189</v>
      </c>
      <c r="AB37" s="1061" t="s">
        <v>187</v>
      </c>
    </row>
    <row r="38" spans="2:28">
      <c r="B38" s="68"/>
      <c r="C38" s="182"/>
      <c r="D38" s="41">
        <f>($C$4)/1000</f>
        <v>0.91</v>
      </c>
      <c r="E38" s="41">
        <v>0.91</v>
      </c>
      <c r="F38" s="41">
        <v>1.82</v>
      </c>
      <c r="G38" s="196">
        <f>(O41)*(E38)*(F38)</f>
        <v>496.86</v>
      </c>
      <c r="H38" s="41" t="s">
        <v>267</v>
      </c>
      <c r="I38" s="42"/>
      <c r="J38" s="42"/>
      <c r="K38" s="689" t="s">
        <v>203</v>
      </c>
      <c r="L38" s="1261" t="s">
        <v>341</v>
      </c>
      <c r="M38" s="1274"/>
      <c r="N38" s="1274"/>
      <c r="O38" s="1274"/>
      <c r="P38" s="19">
        <f>ROUNDUP(0.7*S33*O35*IF(L33="一般地(50cm)",1,IF(L34="等　級　２",1.2,1)),0)</f>
        <v>643</v>
      </c>
      <c r="Q38" s="19" t="s">
        <v>127</v>
      </c>
      <c r="R38" s="2"/>
      <c r="S38" s="2"/>
      <c r="T38" s="6"/>
      <c r="X38" s="2"/>
      <c r="Y38" s="2"/>
      <c r="Z38" s="1046" t="s">
        <v>184</v>
      </c>
      <c r="AA38" s="1060" t="s">
        <v>190</v>
      </c>
      <c r="AB38" s="1062" t="s">
        <v>188</v>
      </c>
    </row>
    <row r="39" spans="2:28">
      <c r="B39" s="68"/>
      <c r="C39" s="182"/>
      <c r="D39" s="41">
        <f t="shared" ref="D39:D40" si="0">($C$4)/1000</f>
        <v>0.91</v>
      </c>
      <c r="E39" s="41">
        <v>0.91</v>
      </c>
      <c r="F39" s="41">
        <v>1.82</v>
      </c>
      <c r="G39" s="196">
        <f>(O42)*(E39)*(F39)</f>
        <v>1561.7966000000001</v>
      </c>
      <c r="H39" s="41" t="s">
        <v>228</v>
      </c>
      <c r="I39" s="42"/>
      <c r="J39" s="42"/>
      <c r="K39" s="2"/>
      <c r="L39" s="2"/>
      <c r="M39" s="2"/>
      <c r="N39" s="2"/>
      <c r="O39" s="2"/>
      <c r="P39" s="2"/>
      <c r="Q39" s="2"/>
      <c r="R39" s="2"/>
      <c r="S39" s="2"/>
      <c r="T39" s="6"/>
      <c r="X39" s="2"/>
      <c r="Y39" s="2"/>
      <c r="Z39" s="1046" t="s">
        <v>185</v>
      </c>
      <c r="AA39" s="1062" t="s">
        <v>726</v>
      </c>
      <c r="AB39" s="1062" t="s">
        <v>118</v>
      </c>
    </row>
    <row r="40" spans="2:28">
      <c r="B40" s="230"/>
      <c r="C40" s="182"/>
      <c r="D40" s="41">
        <f t="shared" si="0"/>
        <v>0.91</v>
      </c>
      <c r="E40" s="41">
        <v>0.91</v>
      </c>
      <c r="F40" s="41">
        <v>1.82</v>
      </c>
      <c r="G40" s="196">
        <f>(O43)*(E40)*(F40)</f>
        <v>2017.2516000000003</v>
      </c>
      <c r="H40" s="41" t="s">
        <v>229</v>
      </c>
      <c r="I40" s="42"/>
      <c r="J40" s="42"/>
      <c r="K40" s="1276" t="s">
        <v>342</v>
      </c>
      <c r="L40" s="1277"/>
      <c r="M40" s="769" t="s">
        <v>124</v>
      </c>
      <c r="N40" s="770" t="s">
        <v>206</v>
      </c>
      <c r="O40" s="827"/>
      <c r="P40" s="825"/>
      <c r="Q40" s="2"/>
      <c r="R40" s="2"/>
      <c r="S40" s="2"/>
      <c r="T40" s="6"/>
      <c r="X40" s="2"/>
      <c r="Y40" s="2"/>
      <c r="Z40" s="1046" t="s">
        <v>186</v>
      </c>
      <c r="AA40" s="1062" t="s">
        <v>733</v>
      </c>
      <c r="AB40" s="1018"/>
    </row>
    <row r="41" spans="2:28">
      <c r="B41" s="230"/>
      <c r="C41" s="237" t="s">
        <v>279</v>
      </c>
      <c r="D41" s="238"/>
      <c r="E41" s="239" t="s">
        <v>276</v>
      </c>
      <c r="F41" s="239"/>
      <c r="G41" s="238"/>
      <c r="H41" s="240"/>
      <c r="I41" s="42"/>
      <c r="J41" s="42"/>
      <c r="K41" s="1230" t="s">
        <v>476</v>
      </c>
      <c r="L41" s="1272"/>
      <c r="M41" s="769">
        <f>N29</f>
        <v>300</v>
      </c>
      <c r="N41" s="790">
        <v>0</v>
      </c>
      <c r="O41" s="828">
        <f>(M41)+(N41)</f>
        <v>300</v>
      </c>
      <c r="P41" s="792"/>
      <c r="Q41" s="2"/>
      <c r="R41" s="2"/>
      <c r="S41" s="2"/>
      <c r="T41" s="6"/>
      <c r="X41" s="2"/>
      <c r="Y41" s="2"/>
    </row>
    <row r="42" spans="2:28">
      <c r="B42" s="230"/>
      <c r="C42" s="45" t="s">
        <v>274</v>
      </c>
      <c r="D42" s="182" t="s">
        <v>275</v>
      </c>
      <c r="E42" s="45" t="s">
        <v>277</v>
      </c>
      <c r="F42" s="102" t="s">
        <v>278</v>
      </c>
      <c r="G42" s="41"/>
      <c r="H42" s="41"/>
      <c r="I42" s="42"/>
      <c r="J42" s="42"/>
      <c r="K42" s="1230" t="s">
        <v>477</v>
      </c>
      <c r="L42" s="1272"/>
      <c r="M42" s="769">
        <f>M41</f>
        <v>300</v>
      </c>
      <c r="N42" s="790">
        <f>P38</f>
        <v>643</v>
      </c>
      <c r="O42" s="773">
        <f>(M42)+(N42)</f>
        <v>943</v>
      </c>
      <c r="P42" s="792"/>
      <c r="Q42" s="2"/>
      <c r="R42" s="2"/>
      <c r="S42" s="2"/>
      <c r="T42" s="6"/>
      <c r="X42" s="2"/>
      <c r="Y42" s="2"/>
    </row>
    <row r="43" spans="2:28">
      <c r="B43" s="230"/>
      <c r="C43" s="182"/>
      <c r="D43" s="41">
        <f>($C$4)/1000</f>
        <v>0.91</v>
      </c>
      <c r="E43" s="41">
        <v>0.91</v>
      </c>
      <c r="F43" s="41">
        <v>1.82</v>
      </c>
      <c r="G43" s="196">
        <f>(O41)*(E43)*(F43)</f>
        <v>496.86</v>
      </c>
      <c r="H43" s="41" t="s">
        <v>267</v>
      </c>
      <c r="I43" s="42"/>
      <c r="J43" s="42"/>
      <c r="K43" s="1230" t="s">
        <v>478</v>
      </c>
      <c r="L43" s="1272"/>
      <c r="M43" s="769">
        <f>M41</f>
        <v>300</v>
      </c>
      <c r="N43" s="790">
        <f>P37</f>
        <v>918</v>
      </c>
      <c r="O43" s="773">
        <f>(M43)+(N43)</f>
        <v>1218</v>
      </c>
      <c r="P43" s="792"/>
      <c r="Q43" s="2"/>
      <c r="R43" s="2"/>
      <c r="S43" s="2"/>
      <c r="T43" s="6"/>
      <c r="X43" s="43"/>
      <c r="Y43" s="43"/>
    </row>
    <row r="44" spans="2:28">
      <c r="B44" s="230"/>
      <c r="C44" s="182"/>
      <c r="D44" s="41">
        <f t="shared" ref="D44:D45" si="1">($C$4)/1000</f>
        <v>0.91</v>
      </c>
      <c r="E44" s="41">
        <v>0.91</v>
      </c>
      <c r="F44" s="41">
        <v>1.82</v>
      </c>
      <c r="G44" s="196">
        <f>(O42)*(E44)*(F44)</f>
        <v>1561.7966000000001</v>
      </c>
      <c r="H44" s="41" t="s">
        <v>228</v>
      </c>
      <c r="I44" s="42"/>
      <c r="J44" s="42"/>
      <c r="K44" s="1228" t="s">
        <v>257</v>
      </c>
      <c r="L44" s="1273"/>
      <c r="M44" s="769">
        <f>S27</f>
        <v>200</v>
      </c>
      <c r="N44" s="826"/>
      <c r="O44" s="773">
        <f>(M44)</f>
        <v>200</v>
      </c>
      <c r="P44" s="793" t="s">
        <v>121</v>
      </c>
      <c r="Q44" s="2"/>
      <c r="R44" s="2"/>
      <c r="S44" s="2"/>
      <c r="T44" s="6"/>
      <c r="X44" s="2"/>
      <c r="Y44" s="2"/>
    </row>
    <row r="45" spans="2:28" ht="13.15" customHeight="1" thickBot="1">
      <c r="B45" s="230"/>
      <c r="C45" s="182"/>
      <c r="D45" s="41">
        <f t="shared" si="1"/>
        <v>0.91</v>
      </c>
      <c r="E45" s="41">
        <v>0.91</v>
      </c>
      <c r="F45" s="41">
        <v>1.82</v>
      </c>
      <c r="G45" s="196">
        <f>(O43)*(E45)*(F45)</f>
        <v>2017.2516000000003</v>
      </c>
      <c r="H45" s="41" t="s">
        <v>229</v>
      </c>
      <c r="I45" s="42"/>
      <c r="J45" s="765"/>
      <c r="K45" s="14"/>
      <c r="L45" s="14"/>
      <c r="M45" s="14"/>
      <c r="N45" s="14"/>
      <c r="O45" s="14"/>
      <c r="P45" s="14"/>
      <c r="Q45" s="14"/>
      <c r="R45" s="14"/>
      <c r="S45" s="14"/>
      <c r="T45" s="15"/>
      <c r="X45" s="2"/>
      <c r="Y45" s="2"/>
    </row>
    <row r="46" spans="2:28">
      <c r="B46" s="230"/>
      <c r="C46" s="182"/>
      <c r="D46" s="41"/>
      <c r="E46" s="45" t="s">
        <v>276</v>
      </c>
      <c r="F46" s="45"/>
      <c r="G46" s="41"/>
      <c r="H46" s="77"/>
      <c r="I46" s="42"/>
      <c r="X46" s="2"/>
      <c r="Y46" s="2"/>
    </row>
    <row r="47" spans="2:28" ht="14.25" thickBot="1">
      <c r="B47" s="230"/>
      <c r="C47" s="45" t="s">
        <v>280</v>
      </c>
      <c r="D47" s="182" t="s">
        <v>275</v>
      </c>
      <c r="E47" s="45" t="s">
        <v>277</v>
      </c>
      <c r="F47" s="102" t="s">
        <v>278</v>
      </c>
      <c r="G47" s="41"/>
      <c r="H47" s="41"/>
      <c r="I47" s="42"/>
      <c r="M47" s="2"/>
      <c r="X47" s="2"/>
      <c r="Y47" s="2"/>
    </row>
    <row r="48" spans="2:28" ht="14.25" thickBot="1">
      <c r="B48" s="230"/>
      <c r="C48" s="182"/>
      <c r="D48" s="41">
        <f>2*($C$4)/1000</f>
        <v>1.82</v>
      </c>
      <c r="E48" s="41">
        <v>0.91</v>
      </c>
      <c r="F48" s="41">
        <v>1.82</v>
      </c>
      <c r="G48" s="196">
        <f>(O41)*(E48)*(F48)</f>
        <v>496.86</v>
      </c>
      <c r="H48" s="41" t="s">
        <v>267</v>
      </c>
      <c r="I48" s="42"/>
      <c r="J48" s="639" t="s">
        <v>445</v>
      </c>
      <c r="K48" s="864"/>
      <c r="L48" s="804" t="s">
        <v>267</v>
      </c>
      <c r="M48" s="804" t="s">
        <v>228</v>
      </c>
      <c r="N48" s="805" t="s">
        <v>229</v>
      </c>
      <c r="X48" s="2"/>
      <c r="Y48" s="2"/>
    </row>
    <row r="49" spans="2:25">
      <c r="B49" s="230"/>
      <c r="C49" s="182"/>
      <c r="D49" s="41">
        <f t="shared" ref="D49:D50" si="2">2*($C$4)/1000</f>
        <v>1.82</v>
      </c>
      <c r="E49" s="41">
        <v>0.91</v>
      </c>
      <c r="F49" s="41">
        <v>1.82</v>
      </c>
      <c r="G49" s="196">
        <f>(O42)*(E49)*(F49)</f>
        <v>1561.7966000000001</v>
      </c>
      <c r="H49" s="41" t="s">
        <v>228</v>
      </c>
      <c r="I49" s="42"/>
      <c r="J49" s="1266" t="s">
        <v>273</v>
      </c>
      <c r="K49" s="621" t="s">
        <v>231</v>
      </c>
      <c r="L49" s="623" t="str">
        <f>(K79)</f>
        <v>◯</v>
      </c>
      <c r="M49" s="623" t="str">
        <f>(K83)</f>
        <v>◯</v>
      </c>
      <c r="N49" s="624" t="str">
        <f>(K87)</f>
        <v>◯</v>
      </c>
      <c r="O49" s="1175" t="s">
        <v>44</v>
      </c>
      <c r="P49" s="1176"/>
      <c r="Y49" s="2"/>
    </row>
    <row r="50" spans="2:25" ht="14.25" thickBot="1">
      <c r="B50" s="230"/>
      <c r="C50" s="182"/>
      <c r="D50" s="41">
        <f t="shared" si="2"/>
        <v>1.82</v>
      </c>
      <c r="E50" s="41">
        <v>0.91</v>
      </c>
      <c r="F50" s="41">
        <v>1.82</v>
      </c>
      <c r="G50" s="196">
        <f>(O43)*(E50)*(F50)</f>
        <v>2017.2516000000003</v>
      </c>
      <c r="H50" s="41" t="s">
        <v>229</v>
      </c>
      <c r="I50" s="42"/>
      <c r="J50" s="1267"/>
      <c r="K50" s="621" t="s">
        <v>321</v>
      </c>
      <c r="L50" s="623" t="str">
        <f>(K197)</f>
        <v>◯</v>
      </c>
      <c r="M50" s="623" t="str">
        <f>(K206)</f>
        <v>◯</v>
      </c>
      <c r="N50" s="624" t="str">
        <f>(K215)</f>
        <v>◯</v>
      </c>
      <c r="O50" s="1275"/>
      <c r="P50" s="1196"/>
      <c r="Y50" s="2"/>
    </row>
    <row r="51" spans="2:25" ht="14.25" thickBot="1">
      <c r="B51" s="840"/>
      <c r="C51" s="316" t="s">
        <v>101</v>
      </c>
      <c r="D51" s="593" t="s">
        <v>100</v>
      </c>
      <c r="E51" s="593" t="s">
        <v>102</v>
      </c>
      <c r="F51" s="459"/>
      <c r="G51" s="228"/>
      <c r="H51" s="229"/>
      <c r="I51" s="42"/>
      <c r="J51" s="1268"/>
      <c r="K51" s="622" t="s">
        <v>343</v>
      </c>
      <c r="L51" s="625" t="str">
        <f>(K317)</f>
        <v>◯</v>
      </c>
      <c r="M51" s="625" t="str">
        <f>(L326)</f>
        <v>◯</v>
      </c>
      <c r="N51" s="626" t="str">
        <f>(L335)</f>
        <v>◯</v>
      </c>
      <c r="O51" s="1179" t="s">
        <v>43</v>
      </c>
      <c r="P51" s="1240"/>
      <c r="Y51" s="2"/>
    </row>
    <row r="52" spans="2:25">
      <c r="B52" s="705" t="s">
        <v>15</v>
      </c>
      <c r="C52" s="843"/>
      <c r="D52" s="841">
        <f>(C7)*(C58)*(C13)</f>
        <v>11025</v>
      </c>
      <c r="E52" s="844"/>
      <c r="F52" s="459" t="s">
        <v>11</v>
      </c>
      <c r="G52" s="77"/>
      <c r="H52" s="77"/>
      <c r="I52" s="42"/>
      <c r="J52" s="1266" t="s">
        <v>279</v>
      </c>
      <c r="K52" s="621" t="s">
        <v>231</v>
      </c>
      <c r="L52" s="623" t="str">
        <f>(K102)</f>
        <v>◯</v>
      </c>
      <c r="M52" s="623" t="str">
        <f>(K116)</f>
        <v>◯</v>
      </c>
      <c r="N52" s="624" t="str">
        <f>(K130)</f>
        <v>◯</v>
      </c>
      <c r="O52" s="1175" t="s">
        <v>44</v>
      </c>
      <c r="P52" s="1176"/>
      <c r="Y52" s="71"/>
    </row>
    <row r="53" spans="2:25" ht="14.25" thickBot="1">
      <c r="B53" s="705" t="s">
        <v>14</v>
      </c>
      <c r="C53" s="842">
        <f>(D13)*((C7)*(C58)^2)/6</f>
        <v>192937.5</v>
      </c>
      <c r="D53" s="844"/>
      <c r="E53" s="844"/>
      <c r="F53" s="459" t="s">
        <v>38</v>
      </c>
      <c r="G53" s="77"/>
      <c r="H53" s="77"/>
      <c r="I53" s="42"/>
      <c r="J53" s="1267"/>
      <c r="K53" s="621" t="s">
        <v>321</v>
      </c>
      <c r="L53" s="623" t="str">
        <f>(K225)</f>
        <v>◯</v>
      </c>
      <c r="M53" s="623" t="str">
        <f>(K235)</f>
        <v>◯</v>
      </c>
      <c r="N53" s="624" t="str">
        <f>(K245)</f>
        <v>◯</v>
      </c>
      <c r="O53" s="1275"/>
      <c r="P53" s="1196"/>
      <c r="Y53" s="2"/>
    </row>
    <row r="54" spans="2:25" ht="14.25" thickBot="1">
      <c r="B54" s="705" t="s">
        <v>10</v>
      </c>
      <c r="C54" s="843"/>
      <c r="D54" s="844"/>
      <c r="E54" s="842">
        <f>(E13)*((C7)*(E58)^3)/12</f>
        <v>10129218.75</v>
      </c>
      <c r="F54" s="459" t="s">
        <v>39</v>
      </c>
      <c r="G54" s="77"/>
      <c r="H54" s="34"/>
      <c r="I54" s="42"/>
      <c r="J54" s="1268"/>
      <c r="K54" s="622" t="s">
        <v>343</v>
      </c>
      <c r="L54" s="625" t="str">
        <f>(K351)</f>
        <v>◯</v>
      </c>
      <c r="M54" s="625" t="str">
        <f>(L364)</f>
        <v>◯</v>
      </c>
      <c r="N54" s="626" t="str">
        <f>(L378)</f>
        <v>×</v>
      </c>
      <c r="O54" s="1179" t="s">
        <v>43</v>
      </c>
      <c r="P54" s="1240"/>
      <c r="Y54" s="2"/>
    </row>
    <row r="55" spans="2:25" ht="14.25" thickBot="1">
      <c r="B55" s="230"/>
      <c r="C55" s="182"/>
      <c r="D55" s="41"/>
      <c r="E55" s="41"/>
      <c r="F55" s="77"/>
      <c r="G55" s="77"/>
      <c r="H55" s="192"/>
      <c r="I55" s="42"/>
      <c r="J55" s="1269" t="s">
        <v>269</v>
      </c>
      <c r="K55" s="621" t="s">
        <v>231</v>
      </c>
      <c r="L55" s="623" t="str">
        <f>(K139)</f>
        <v>◯</v>
      </c>
      <c r="M55" s="623" t="str">
        <f>(K148)</f>
        <v>◯</v>
      </c>
      <c r="N55" s="624" t="str">
        <f>(K157)</f>
        <v>◯</v>
      </c>
      <c r="O55" s="1175" t="s">
        <v>44</v>
      </c>
      <c r="P55" s="1176"/>
      <c r="Y55" s="2"/>
    </row>
    <row r="56" spans="2:25" ht="15" thickTop="1" thickBot="1">
      <c r="B56" s="1289" t="s">
        <v>73</v>
      </c>
      <c r="C56" s="1290"/>
      <c r="D56" s="1290"/>
      <c r="E56" s="1290"/>
      <c r="F56" s="1284" t="s">
        <v>242</v>
      </c>
      <c r="G56" s="1285"/>
      <c r="H56" s="634"/>
      <c r="I56" s="2"/>
      <c r="J56" s="1267"/>
      <c r="K56" s="621" t="s">
        <v>321</v>
      </c>
      <c r="L56" s="623" t="str">
        <f>(K255)</f>
        <v>◯</v>
      </c>
      <c r="M56" s="623" t="str">
        <f>(K265)</f>
        <v>◯</v>
      </c>
      <c r="N56" s="624" t="str">
        <f>(K275)</f>
        <v>◯</v>
      </c>
      <c r="O56" s="1275"/>
      <c r="P56" s="1196"/>
      <c r="Y56" s="2"/>
    </row>
    <row r="57" spans="2:25" ht="14.25" thickBot="1">
      <c r="B57" s="1293" t="s">
        <v>44</v>
      </c>
      <c r="C57" s="1283"/>
      <c r="D57" s="1282" t="s">
        <v>43</v>
      </c>
      <c r="E57" s="1283"/>
      <c r="F57" s="1283"/>
      <c r="G57" s="1286"/>
      <c r="H57" s="204"/>
      <c r="I57" s="2"/>
      <c r="J57" s="1268"/>
      <c r="K57" s="622" t="s">
        <v>343</v>
      </c>
      <c r="L57" s="625" t="str">
        <f>(K389)</f>
        <v>◯</v>
      </c>
      <c r="M57" s="625" t="str">
        <f>(L396)</f>
        <v>◯</v>
      </c>
      <c r="N57" s="626" t="str">
        <f>(L403)</f>
        <v>×</v>
      </c>
      <c r="O57" s="1179" t="s">
        <v>43</v>
      </c>
      <c r="P57" s="1240"/>
      <c r="Y57" s="2"/>
    </row>
    <row r="58" spans="2:25" ht="14.25" thickBot="1">
      <c r="B58" s="849">
        <f>C7</f>
        <v>105</v>
      </c>
      <c r="C58" s="850">
        <f>(D7)</f>
        <v>105</v>
      </c>
      <c r="D58" s="847">
        <f>C7</f>
        <v>105</v>
      </c>
      <c r="E58" s="848">
        <f>(E7)</f>
        <v>105</v>
      </c>
      <c r="F58" s="1287">
        <f>INDEX(data!H28:'data'!I31,MATCH(G14,data!G28:'data'!G31,0),MATCH(C18,data!H27:'data'!K27,0))</f>
        <v>469.75837999999999</v>
      </c>
      <c r="G58" s="1288"/>
      <c r="H58" s="211"/>
      <c r="I58" s="2"/>
      <c r="J58" s="1269" t="s">
        <v>270</v>
      </c>
      <c r="K58" s="621" t="s">
        <v>231</v>
      </c>
      <c r="L58" s="623" t="str">
        <f>(K166)</f>
        <v>◯</v>
      </c>
      <c r="M58" s="623" t="str">
        <f>(K175)</f>
        <v>◯</v>
      </c>
      <c r="N58" s="624" t="str">
        <f>(K184)</f>
        <v>◯</v>
      </c>
      <c r="O58" s="1175" t="s">
        <v>44</v>
      </c>
      <c r="P58" s="1176"/>
    </row>
    <row r="59" spans="2:25" ht="15" thickTop="1" thickBot="1">
      <c r="I59" s="2"/>
      <c r="J59" s="1267"/>
      <c r="K59" s="621" t="s">
        <v>321</v>
      </c>
      <c r="L59" s="623" t="str">
        <f>(K285)</f>
        <v>◯</v>
      </c>
      <c r="M59" s="623" t="str">
        <f>(K295)</f>
        <v>◯</v>
      </c>
      <c r="N59" s="624" t="str">
        <f>(K305)</f>
        <v>◯</v>
      </c>
      <c r="O59" s="1275"/>
      <c r="P59" s="1196"/>
    </row>
    <row r="60" spans="2:25" ht="14.25" thickBot="1">
      <c r="I60" s="2"/>
      <c r="J60" s="1268"/>
      <c r="K60" s="622" t="s">
        <v>343</v>
      </c>
      <c r="L60" s="625" t="str">
        <f>(K413)</f>
        <v>◯</v>
      </c>
      <c r="M60" s="625" t="str">
        <f>(L420)</f>
        <v>×</v>
      </c>
      <c r="N60" s="626" t="str">
        <f>(L427)</f>
        <v>×</v>
      </c>
      <c r="O60" s="1179" t="s">
        <v>43</v>
      </c>
      <c r="P60" s="1240"/>
    </row>
    <row r="61" spans="2:25">
      <c r="I61" s="2"/>
    </row>
    <row r="63" spans="2:25" ht="14.25" thickBot="1"/>
    <row r="64" spans="2:25">
      <c r="B64" s="297" t="s">
        <v>231</v>
      </c>
      <c r="C64" s="206"/>
      <c r="D64" s="206"/>
      <c r="E64" s="241"/>
      <c r="F64" s="241"/>
      <c r="G64" s="241"/>
      <c r="H64" s="241"/>
      <c r="I64" s="241"/>
      <c r="J64" s="241"/>
      <c r="K64" s="242"/>
    </row>
    <row r="65" spans="2:12">
      <c r="B65" s="466" t="s">
        <v>448</v>
      </c>
      <c r="C65" s="244"/>
      <c r="D65" s="245"/>
      <c r="E65" s="245"/>
      <c r="F65" s="245"/>
      <c r="G65" s="245"/>
      <c r="H65" s="245"/>
      <c r="I65" s="245"/>
      <c r="J65" s="245"/>
      <c r="K65" s="246"/>
    </row>
    <row r="66" spans="2:12">
      <c r="B66" s="243"/>
      <c r="C66" s="198" t="s">
        <v>221</v>
      </c>
      <c r="D66" s="245"/>
      <c r="E66" s="117" t="s">
        <v>577</v>
      </c>
      <c r="F66" s="88">
        <f>(E26)</f>
        <v>243.21800000000002</v>
      </c>
      <c r="G66" s="118">
        <f>(F10)</f>
        <v>1.82</v>
      </c>
      <c r="H66" s="19" t="s">
        <v>88</v>
      </c>
      <c r="I66" s="125">
        <f>((F66)*(G66)*(G66))/8</f>
        <v>100.70441290000001</v>
      </c>
      <c r="J66" s="19" t="s">
        <v>91</v>
      </c>
      <c r="K66" s="246"/>
    </row>
    <row r="67" spans="2:12">
      <c r="B67" s="243"/>
      <c r="C67" s="244"/>
      <c r="D67" s="245"/>
      <c r="E67" s="247"/>
      <c r="F67" s="17" t="s">
        <v>18</v>
      </c>
      <c r="G67" s="203" t="s">
        <v>92</v>
      </c>
      <c r="H67" s="248"/>
      <c r="I67" s="248"/>
      <c r="J67" s="248"/>
      <c r="K67" s="246"/>
    </row>
    <row r="68" spans="2:12">
      <c r="B68" s="243"/>
      <c r="C68" s="244"/>
      <c r="D68" s="245"/>
      <c r="E68" s="247"/>
      <c r="F68" s="17"/>
      <c r="G68" s="203"/>
      <c r="H68" s="248"/>
      <c r="I68" s="248"/>
      <c r="J68" s="248"/>
      <c r="K68" s="246"/>
    </row>
    <row r="69" spans="2:12">
      <c r="B69" s="275" t="s">
        <v>273</v>
      </c>
      <c r="C69" s="59" t="s">
        <v>143</v>
      </c>
      <c r="D69" s="249"/>
      <c r="E69" s="249"/>
      <c r="F69" s="249"/>
      <c r="G69" s="249"/>
      <c r="H69" s="249"/>
      <c r="I69" s="249"/>
      <c r="J69" s="249"/>
      <c r="K69" s="250"/>
    </row>
    <row r="70" spans="2:12">
      <c r="B70" s="243"/>
      <c r="C70" s="198" t="s">
        <v>144</v>
      </c>
      <c r="D70" s="92"/>
      <c r="E70" s="92"/>
      <c r="F70" s="152" t="s">
        <v>145</v>
      </c>
      <c r="G70" s="19" t="s">
        <v>152</v>
      </c>
      <c r="H70" s="19"/>
      <c r="I70" s="19"/>
      <c r="J70" s="19"/>
      <c r="K70" s="246"/>
      <c r="L70" s="2"/>
    </row>
    <row r="71" spans="2:12">
      <c r="B71" s="243"/>
      <c r="C71" s="96"/>
      <c r="D71" s="117" t="s">
        <v>578</v>
      </c>
      <c r="E71" s="102" t="s">
        <v>146</v>
      </c>
      <c r="F71" s="152">
        <f>D38</f>
        <v>0.91</v>
      </c>
      <c r="G71" s="19" t="s">
        <v>150</v>
      </c>
      <c r="H71" s="19"/>
      <c r="I71" s="159">
        <f>(G38)*(D38)*($F$10-D38)/($F$10)</f>
        <v>226.07130000000001</v>
      </c>
      <c r="J71" s="19" t="s">
        <v>91</v>
      </c>
      <c r="K71" s="853" t="s">
        <v>267</v>
      </c>
    </row>
    <row r="72" spans="2:12">
      <c r="B72" s="243"/>
      <c r="C72" s="96"/>
      <c r="D72" s="117" t="s">
        <v>579</v>
      </c>
      <c r="E72" s="102" t="s">
        <v>146</v>
      </c>
      <c r="F72" s="152">
        <f t="shared" ref="F72:F73" si="3">D39</f>
        <v>0.91</v>
      </c>
      <c r="G72" s="19" t="s">
        <v>150</v>
      </c>
      <c r="H72" s="19"/>
      <c r="I72" s="159">
        <f t="shared" ref="I72:I73" si="4">(G39)*(D39)*($F$10-D39)/($F$10)</f>
        <v>710.61745300000007</v>
      </c>
      <c r="J72" s="19" t="s">
        <v>91</v>
      </c>
      <c r="K72" s="854" t="s">
        <v>228</v>
      </c>
      <c r="L72" s="2"/>
    </row>
    <row r="73" spans="2:12">
      <c r="B73" s="243"/>
      <c r="C73" s="96"/>
      <c r="D73" s="117" t="s">
        <v>580</v>
      </c>
      <c r="E73" s="102" t="s">
        <v>146</v>
      </c>
      <c r="F73" s="152">
        <f t="shared" si="3"/>
        <v>0.91</v>
      </c>
      <c r="G73" s="19" t="s">
        <v>150</v>
      </c>
      <c r="H73" s="19"/>
      <c r="I73" s="159">
        <f t="shared" si="4"/>
        <v>917.8494780000002</v>
      </c>
      <c r="J73" s="19" t="s">
        <v>91</v>
      </c>
      <c r="K73" s="852" t="s">
        <v>229</v>
      </c>
      <c r="L73" s="2"/>
    </row>
    <row r="74" spans="2:12">
      <c r="B74" s="243"/>
      <c r="C74" s="96"/>
      <c r="D74" s="92"/>
      <c r="E74" s="92"/>
      <c r="F74" s="92"/>
      <c r="G74" s="92"/>
      <c r="H74" s="276" t="s">
        <v>284</v>
      </c>
      <c r="I74" s="277">
        <f>($I$66)+I71</f>
        <v>326.77571290000003</v>
      </c>
      <c r="J74" s="278" t="s">
        <v>91</v>
      </c>
      <c r="K74" s="854" t="s">
        <v>267</v>
      </c>
      <c r="L74" s="2"/>
    </row>
    <row r="75" spans="2:12">
      <c r="B75" s="243"/>
      <c r="C75" s="96"/>
      <c r="D75" s="92"/>
      <c r="E75" s="92"/>
      <c r="F75" s="92"/>
      <c r="G75" s="92"/>
      <c r="H75" s="92"/>
      <c r="I75" s="277">
        <f t="shared" ref="I75:I76" si="5">($I$66)+I72</f>
        <v>811.32186590000003</v>
      </c>
      <c r="J75" s="19" t="s">
        <v>91</v>
      </c>
      <c r="K75" s="854" t="s">
        <v>228</v>
      </c>
      <c r="L75" s="2"/>
    </row>
    <row r="76" spans="2:12">
      <c r="B76" s="243"/>
      <c r="C76" s="96"/>
      <c r="D76" s="92"/>
      <c r="E76" s="92"/>
      <c r="F76" s="92"/>
      <c r="G76" s="92"/>
      <c r="H76" s="92"/>
      <c r="I76" s="277">
        <f t="shared" si="5"/>
        <v>1018.5538909000002</v>
      </c>
      <c r="J76" s="19" t="s">
        <v>91</v>
      </c>
      <c r="K76" s="854" t="s">
        <v>229</v>
      </c>
    </row>
    <row r="77" spans="2:12">
      <c r="B77" s="243"/>
      <c r="C77" s="198" t="s">
        <v>231</v>
      </c>
      <c r="D77" s="60" t="s">
        <v>581</v>
      </c>
      <c r="E77" s="279">
        <f>((I74))/($C$53)*1000</f>
        <v>1.6936868825396827</v>
      </c>
      <c r="F77" s="114" t="s">
        <v>285</v>
      </c>
      <c r="G77" s="856" t="s">
        <v>267</v>
      </c>
      <c r="H77" s="92"/>
      <c r="I77" s="92"/>
      <c r="J77" s="245"/>
      <c r="K77" s="246"/>
      <c r="L77" s="2"/>
    </row>
    <row r="78" spans="2:12">
      <c r="B78" s="243"/>
      <c r="C78" s="244"/>
      <c r="D78" s="985" t="s">
        <v>94</v>
      </c>
      <c r="E78" s="19" t="s">
        <v>89</v>
      </c>
      <c r="F78" s="119">
        <f>C14</f>
        <v>1</v>
      </c>
      <c r="G78" s="159">
        <f>1.1*(data!E17)/3</f>
        <v>13.019453333333333</v>
      </c>
      <c r="H78" s="120">
        <f>C14</f>
        <v>1</v>
      </c>
      <c r="I78" s="280">
        <f>(G78)*(H78)</f>
        <v>13.019453333333333</v>
      </c>
      <c r="J78" s="51" t="s">
        <v>93</v>
      </c>
      <c r="K78" s="246"/>
      <c r="L78" s="2"/>
    </row>
    <row r="79" spans="2:12" ht="14.25" thickBot="1">
      <c r="B79" s="243"/>
      <c r="C79" s="244"/>
      <c r="D79" s="253"/>
      <c r="E79" s="254"/>
      <c r="F79" s="253" t="s">
        <v>17</v>
      </c>
      <c r="G79" s="254"/>
      <c r="H79" s="62" t="s">
        <v>17</v>
      </c>
      <c r="I79" s="254"/>
      <c r="J79" s="175" t="s">
        <v>322</v>
      </c>
      <c r="K79" s="619" t="str">
        <f>IF(E77&lt;=I78,"◯","×")</f>
        <v>◯</v>
      </c>
      <c r="L79" s="2"/>
    </row>
    <row r="80" spans="2:12">
      <c r="B80" s="243"/>
      <c r="C80" s="244"/>
      <c r="D80" s="245"/>
      <c r="E80" s="245"/>
      <c r="F80" s="245"/>
      <c r="G80" s="245"/>
      <c r="H80" s="245"/>
      <c r="I80" s="245"/>
      <c r="J80" s="245"/>
      <c r="K80" s="246"/>
      <c r="L80" s="2"/>
    </row>
    <row r="81" spans="2:12">
      <c r="B81" s="243"/>
      <c r="C81" s="244"/>
      <c r="D81" s="60" t="s">
        <v>582</v>
      </c>
      <c r="E81" s="279">
        <f>((I75))/($C$53)*1000</f>
        <v>4.2051019936507936</v>
      </c>
      <c r="F81" s="114" t="s">
        <v>285</v>
      </c>
      <c r="G81" s="857" t="s">
        <v>228</v>
      </c>
      <c r="H81" s="92"/>
      <c r="I81" s="92"/>
      <c r="J81" s="245"/>
      <c r="K81" s="246"/>
    </row>
    <row r="82" spans="2:12">
      <c r="B82" s="243"/>
      <c r="C82" s="244"/>
      <c r="D82" s="985" t="s">
        <v>94</v>
      </c>
      <c r="E82" s="81" t="s">
        <v>288</v>
      </c>
      <c r="F82" s="119">
        <f>C14</f>
        <v>1</v>
      </c>
      <c r="G82" s="159">
        <f>1.3*1.1*(data!E17)/3</f>
        <v>16.925289333333335</v>
      </c>
      <c r="H82" s="120">
        <f>C14</f>
        <v>1</v>
      </c>
      <c r="I82" s="159">
        <f>(G82)*(H82)</f>
        <v>16.925289333333335</v>
      </c>
      <c r="J82" s="51" t="s">
        <v>93</v>
      </c>
      <c r="K82" s="855"/>
    </row>
    <row r="83" spans="2:12" ht="14.25" thickBot="1">
      <c r="B83" s="243"/>
      <c r="C83" s="244"/>
      <c r="D83" s="253"/>
      <c r="E83" s="254"/>
      <c r="F83" s="253" t="s">
        <v>17</v>
      </c>
      <c r="G83" s="254"/>
      <c r="H83" s="62" t="s">
        <v>17</v>
      </c>
      <c r="I83" s="254"/>
      <c r="J83" s="175" t="s">
        <v>322</v>
      </c>
      <c r="K83" s="619" t="str">
        <f>IF(E81&lt;=I82,"◯","×")</f>
        <v>◯</v>
      </c>
      <c r="L83" s="2"/>
    </row>
    <row r="84" spans="2:12">
      <c r="B84" s="243"/>
      <c r="C84" s="244"/>
      <c r="D84" s="245"/>
      <c r="E84" s="245"/>
      <c r="F84" s="245"/>
      <c r="G84" s="245"/>
      <c r="H84" s="245"/>
      <c r="I84" s="245"/>
      <c r="J84" s="245"/>
      <c r="K84" s="246"/>
      <c r="L84" s="2"/>
    </row>
    <row r="85" spans="2:12">
      <c r="B85" s="243"/>
      <c r="C85" s="244"/>
      <c r="D85" s="60" t="s">
        <v>583</v>
      </c>
      <c r="E85" s="279">
        <f>((I66)+(I76))/($C$53)*1000</f>
        <v>5.8011444317460334</v>
      </c>
      <c r="F85" s="114" t="s">
        <v>285</v>
      </c>
      <c r="G85" s="857" t="s">
        <v>229</v>
      </c>
      <c r="H85" s="92"/>
      <c r="I85" s="92"/>
      <c r="J85" s="245"/>
      <c r="K85" s="246"/>
    </row>
    <row r="86" spans="2:12">
      <c r="B86" s="243"/>
      <c r="C86" s="244"/>
      <c r="D86" s="985" t="s">
        <v>94</v>
      </c>
      <c r="E86" s="81" t="s">
        <v>289</v>
      </c>
      <c r="F86" s="119">
        <f>C14</f>
        <v>1</v>
      </c>
      <c r="G86" s="159">
        <f>0.8*2*(data!E17)/3</f>
        <v>18.937386666666665</v>
      </c>
      <c r="H86" s="120">
        <f>C14</f>
        <v>1</v>
      </c>
      <c r="I86" s="159">
        <f>(G86)*(H86)</f>
        <v>18.937386666666665</v>
      </c>
      <c r="J86" s="51" t="s">
        <v>93</v>
      </c>
      <c r="K86" s="246"/>
    </row>
    <row r="87" spans="2:12" ht="14.25" thickBot="1">
      <c r="B87" s="255"/>
      <c r="C87" s="244"/>
      <c r="D87" s="253"/>
      <c r="E87" s="254"/>
      <c r="F87" s="253" t="s">
        <v>17</v>
      </c>
      <c r="G87" s="254"/>
      <c r="H87" s="62" t="s">
        <v>17</v>
      </c>
      <c r="I87" s="254"/>
      <c r="J87" s="175" t="s">
        <v>322</v>
      </c>
      <c r="K87" s="619" t="str">
        <f>IF(E85&lt;=I86,"◯","×")</f>
        <v>◯</v>
      </c>
    </row>
    <row r="88" spans="2:12">
      <c r="B88" s="57" t="s">
        <v>279</v>
      </c>
      <c r="C88" s="58" t="s">
        <v>143</v>
      </c>
      <c r="D88" s="257"/>
      <c r="E88" s="257"/>
      <c r="F88" s="257"/>
      <c r="G88" s="257"/>
      <c r="H88" s="257"/>
      <c r="I88" s="257"/>
      <c r="J88" s="257"/>
      <c r="K88" s="258"/>
    </row>
    <row r="89" spans="2:12">
      <c r="B89" s="243"/>
      <c r="C89" s="198" t="s">
        <v>144</v>
      </c>
      <c r="D89" s="92"/>
      <c r="E89" s="92"/>
      <c r="F89" s="152" t="s">
        <v>145</v>
      </c>
      <c r="G89" s="19" t="s">
        <v>152</v>
      </c>
      <c r="H89" s="19"/>
      <c r="I89" s="19"/>
      <c r="J89" s="19"/>
      <c r="K89" s="246"/>
    </row>
    <row r="90" spans="2:12">
      <c r="B90" s="243"/>
      <c r="C90" s="96"/>
      <c r="D90" s="117" t="s">
        <v>584</v>
      </c>
      <c r="E90" s="102" t="s">
        <v>146</v>
      </c>
      <c r="F90" s="152">
        <f>D38</f>
        <v>0.91</v>
      </c>
      <c r="G90" s="19" t="s">
        <v>150</v>
      </c>
      <c r="H90" s="19"/>
      <c r="I90" s="159">
        <f>(G43)*(D43)*(F10-D43)/(F10)</f>
        <v>226.07130000000001</v>
      </c>
      <c r="J90" s="19" t="s">
        <v>91</v>
      </c>
      <c r="K90" s="246"/>
    </row>
    <row r="91" spans="2:12">
      <c r="B91" s="243"/>
      <c r="C91" s="198" t="s">
        <v>147</v>
      </c>
      <c r="D91" s="153"/>
      <c r="E91" s="92"/>
      <c r="F91" s="152" t="s">
        <v>145</v>
      </c>
      <c r="G91" s="19" t="s">
        <v>153</v>
      </c>
      <c r="H91" s="19"/>
      <c r="I91" s="19"/>
      <c r="J91" s="92"/>
      <c r="K91" s="246"/>
      <c r="L91" s="2"/>
    </row>
    <row r="92" spans="2:12">
      <c r="B92" s="243"/>
      <c r="C92" s="96"/>
      <c r="D92" s="117" t="s">
        <v>585</v>
      </c>
      <c r="E92" s="102" t="s">
        <v>148</v>
      </c>
      <c r="F92" s="152">
        <f>D48</f>
        <v>1.82</v>
      </c>
      <c r="G92" s="19" t="s">
        <v>151</v>
      </c>
      <c r="H92" s="19"/>
      <c r="I92" s="19">
        <f>(G48)*(D43)*(F10-D43)/(F10)</f>
        <v>226.07130000000001</v>
      </c>
      <c r="J92" s="19" t="s">
        <v>91</v>
      </c>
      <c r="K92" s="246"/>
      <c r="L92" s="2"/>
    </row>
    <row r="93" spans="2:12">
      <c r="B93" s="243"/>
      <c r="C93" s="199" t="s">
        <v>149</v>
      </c>
      <c r="D93" s="199"/>
      <c r="E93" s="32"/>
      <c r="F93" s="33"/>
      <c r="G93" s="248"/>
      <c r="H93" s="248"/>
      <c r="I93" s="248"/>
      <c r="J93" s="248"/>
      <c r="K93" s="246"/>
    </row>
    <row r="94" spans="2:12">
      <c r="B94" s="243"/>
      <c r="C94" s="244"/>
      <c r="D94" s="60" t="s">
        <v>586</v>
      </c>
      <c r="E94" s="616" t="s">
        <v>587</v>
      </c>
      <c r="F94" s="154">
        <f>IF(F90&gt;=F92,(F10-F90),F90)</f>
        <v>0.91</v>
      </c>
      <c r="G94" s="19">
        <f>IF(F90&gt;=F92,F10-F92,F92)</f>
        <v>1.82</v>
      </c>
      <c r="H94" s="155" t="s">
        <v>154</v>
      </c>
      <c r="I94" s="19">
        <f>(I90)+(I92)*(F94)/(G94)</f>
        <v>339.10694999999998</v>
      </c>
      <c r="J94" s="19" t="s">
        <v>91</v>
      </c>
      <c r="K94" s="89"/>
    </row>
    <row r="95" spans="2:12">
      <c r="B95" s="243"/>
      <c r="C95" s="199" t="s">
        <v>155</v>
      </c>
      <c r="D95" s="199"/>
      <c r="E95" s="40"/>
      <c r="F95" s="152"/>
      <c r="G95" s="19"/>
      <c r="H95" s="19"/>
      <c r="I95" s="19"/>
      <c r="J95" s="19"/>
      <c r="K95" s="1004">
        <f>MAX(I94,I96)</f>
        <v>339.10694999999998</v>
      </c>
    </row>
    <row r="96" spans="2:12">
      <c r="B96" s="243"/>
      <c r="C96" s="247"/>
      <c r="D96" s="60" t="s">
        <v>588</v>
      </c>
      <c r="E96" s="616" t="s">
        <v>589</v>
      </c>
      <c r="F96" s="282">
        <f>IF(I92=0,0,F10-G94)</f>
        <v>0</v>
      </c>
      <c r="G96" s="157">
        <f>(F10-F96)</f>
        <v>1.82</v>
      </c>
      <c r="H96" s="155" t="s">
        <v>154</v>
      </c>
      <c r="I96" s="19">
        <f>(I92)+(I90)*(F96)/(G96)</f>
        <v>226.07130000000001</v>
      </c>
      <c r="J96" s="19" t="s">
        <v>91</v>
      </c>
      <c r="K96" s="89"/>
    </row>
    <row r="97" spans="2:11">
      <c r="B97" s="243"/>
      <c r="C97" s="198" t="s">
        <v>157</v>
      </c>
      <c r="D97" s="202"/>
      <c r="E97" s="158">
        <f>I66+(K95)</f>
        <v>439.81136290000001</v>
      </c>
      <c r="F97" s="51" t="s">
        <v>286</v>
      </c>
      <c r="G97" s="472" t="s">
        <v>267</v>
      </c>
      <c r="H97" s="248"/>
      <c r="I97" s="248"/>
      <c r="J97" s="248"/>
      <c r="K97" s="246"/>
    </row>
    <row r="98" spans="2:11">
      <c r="B98" s="243"/>
      <c r="C98" s="247"/>
      <c r="D98" s="17"/>
      <c r="E98" s="203"/>
      <c r="F98" s="248"/>
      <c r="G98" s="248"/>
      <c r="H98" s="248"/>
      <c r="I98" s="248"/>
      <c r="J98" s="248"/>
      <c r="K98" s="246"/>
    </row>
    <row r="99" spans="2:11">
      <c r="B99" s="243"/>
      <c r="C99" s="252" t="s">
        <v>9</v>
      </c>
      <c r="D99" s="60" t="s">
        <v>581</v>
      </c>
      <c r="E99" s="60" t="s">
        <v>590</v>
      </c>
      <c r="F99" s="19" t="s">
        <v>21</v>
      </c>
      <c r="G99" s="159">
        <f>((E97)*1000)/(C53)</f>
        <v>2.2795535492063492</v>
      </c>
      <c r="H99" s="19" t="s">
        <v>20</v>
      </c>
      <c r="I99" s="19"/>
      <c r="J99" s="19"/>
      <c r="K99" s="246"/>
    </row>
    <row r="100" spans="2:11">
      <c r="B100" s="243"/>
      <c r="C100" s="252"/>
      <c r="D100" s="81"/>
      <c r="E100" s="19"/>
      <c r="F100" s="19"/>
      <c r="G100" s="19"/>
      <c r="H100" s="81"/>
      <c r="I100" s="19"/>
      <c r="J100" s="19"/>
      <c r="K100" s="246"/>
    </row>
    <row r="101" spans="2:11">
      <c r="B101" s="243"/>
      <c r="C101" s="252"/>
      <c r="D101" s="985" t="s">
        <v>94</v>
      </c>
      <c r="E101" s="19" t="s">
        <v>89</v>
      </c>
      <c r="F101" s="119">
        <f>C14</f>
        <v>1</v>
      </c>
      <c r="G101" s="159">
        <f>1.1*(data!E17)/3</f>
        <v>13.019453333333333</v>
      </c>
      <c r="H101" s="120">
        <f>C14</f>
        <v>1</v>
      </c>
      <c r="I101" s="280">
        <f>(G101)*(H101)</f>
        <v>13.019453333333333</v>
      </c>
      <c r="J101" s="19" t="s">
        <v>20</v>
      </c>
      <c r="K101" s="246"/>
    </row>
    <row r="102" spans="2:11" ht="14.25" thickBot="1">
      <c r="B102" s="243"/>
      <c r="C102" s="253"/>
      <c r="D102" s="253"/>
      <c r="E102" s="254"/>
      <c r="F102" s="253" t="s">
        <v>17</v>
      </c>
      <c r="G102" s="254"/>
      <c r="H102" s="62" t="s">
        <v>17</v>
      </c>
      <c r="I102" s="254"/>
      <c r="J102" s="175" t="s">
        <v>322</v>
      </c>
      <c r="K102" s="619" t="str">
        <f>IF(G99&lt;=I101,"◯","×")</f>
        <v>◯</v>
      </c>
    </row>
    <row r="103" spans="2:11">
      <c r="B103" s="243"/>
      <c r="C103" s="198" t="s">
        <v>144</v>
      </c>
      <c r="D103" s="92"/>
      <c r="E103" s="92"/>
      <c r="F103" s="152" t="s">
        <v>145</v>
      </c>
      <c r="G103" s="19" t="s">
        <v>152</v>
      </c>
      <c r="H103" s="19"/>
      <c r="I103" s="19"/>
      <c r="J103" s="19"/>
      <c r="K103" s="246"/>
    </row>
    <row r="104" spans="2:11">
      <c r="B104" s="243"/>
      <c r="C104" s="96"/>
      <c r="D104" s="117" t="s">
        <v>584</v>
      </c>
      <c r="E104" s="102" t="s">
        <v>146</v>
      </c>
      <c r="F104" s="152">
        <f>D43</f>
        <v>0.91</v>
      </c>
      <c r="G104" s="19" t="s">
        <v>150</v>
      </c>
      <c r="H104" s="19"/>
      <c r="I104" s="283">
        <f>(G44)*(D44)*(F10-D44)/(F10)</f>
        <v>710.61745300000007</v>
      </c>
      <c r="J104" s="19" t="s">
        <v>91</v>
      </c>
      <c r="K104" s="246"/>
    </row>
    <row r="105" spans="2:11">
      <c r="B105" s="243"/>
      <c r="C105" s="198" t="s">
        <v>147</v>
      </c>
      <c r="D105" s="153"/>
      <c r="E105" s="92"/>
      <c r="F105" s="152" t="s">
        <v>145</v>
      </c>
      <c r="G105" s="19" t="s">
        <v>153</v>
      </c>
      <c r="H105" s="19"/>
      <c r="I105" s="283"/>
      <c r="J105" s="92"/>
      <c r="K105" s="246"/>
    </row>
    <row r="106" spans="2:11">
      <c r="B106" s="243"/>
      <c r="C106" s="96"/>
      <c r="D106" s="117" t="s">
        <v>585</v>
      </c>
      <c r="E106" s="102" t="s">
        <v>148</v>
      </c>
      <c r="F106" s="152">
        <f>D49</f>
        <v>1.82</v>
      </c>
      <c r="G106" s="19" t="s">
        <v>151</v>
      </c>
      <c r="H106" s="19"/>
      <c r="I106" s="283">
        <f>(G49)*(D49)*(F10-D49)/(F10)</f>
        <v>0</v>
      </c>
      <c r="J106" s="19" t="s">
        <v>91</v>
      </c>
      <c r="K106" s="246"/>
    </row>
    <row r="107" spans="2:11">
      <c r="B107" s="243"/>
      <c r="C107" s="199" t="s">
        <v>149</v>
      </c>
      <c r="D107" s="199"/>
      <c r="E107" s="32"/>
      <c r="F107" s="33"/>
      <c r="G107" s="248"/>
      <c r="H107" s="248"/>
      <c r="I107" s="260"/>
      <c r="J107" s="248"/>
      <c r="K107" s="246"/>
    </row>
    <row r="108" spans="2:11">
      <c r="B108" s="243"/>
      <c r="C108" s="244"/>
      <c r="D108" s="60" t="s">
        <v>586</v>
      </c>
      <c r="E108" s="616" t="s">
        <v>592</v>
      </c>
      <c r="F108" s="154">
        <f>IF(F90&gt;=F92,(F10-F90),F90)</f>
        <v>0.91</v>
      </c>
      <c r="G108" s="77">
        <f>IF(F104&gt;=F106,F20-F106,F106)</f>
        <v>1.82</v>
      </c>
      <c r="H108" s="284" t="s">
        <v>154</v>
      </c>
      <c r="I108" s="283">
        <f>(I104)+(I106)*(F108)/(G108)</f>
        <v>710.61745300000007</v>
      </c>
      <c r="J108" s="19" t="s">
        <v>91</v>
      </c>
      <c r="K108" s="89"/>
    </row>
    <row r="109" spans="2:11">
      <c r="B109" s="243"/>
      <c r="C109" s="199" t="s">
        <v>155</v>
      </c>
      <c r="D109" s="199"/>
      <c r="E109" s="40"/>
      <c r="F109" s="33"/>
      <c r="G109" s="19"/>
      <c r="H109" s="19"/>
      <c r="I109" s="283"/>
      <c r="J109" s="19"/>
      <c r="K109" s="1005">
        <f>MAX(I108,I110)</f>
        <v>710.61745300000007</v>
      </c>
    </row>
    <row r="110" spans="2:11">
      <c r="B110" s="243"/>
      <c r="C110" s="247"/>
      <c r="D110" s="60" t="s">
        <v>588</v>
      </c>
      <c r="E110" s="616" t="s">
        <v>595</v>
      </c>
      <c r="F110" s="61">
        <f>IF(I92=0,0,F10-G94)</f>
        <v>0</v>
      </c>
      <c r="G110" s="157">
        <f>(F10-F110)</f>
        <v>1.82</v>
      </c>
      <c r="H110" s="155" t="s">
        <v>154</v>
      </c>
      <c r="I110" s="283">
        <f>(I106)+(I104)*(F110)/(G110)</f>
        <v>0</v>
      </c>
      <c r="J110" s="19" t="s">
        <v>91</v>
      </c>
      <c r="K110" s="89"/>
    </row>
    <row r="111" spans="2:11">
      <c r="B111" s="243"/>
      <c r="C111" s="198" t="s">
        <v>157</v>
      </c>
      <c r="D111" s="202"/>
      <c r="E111" s="158">
        <f>I66+(K109)</f>
        <v>811.32186590000003</v>
      </c>
      <c r="F111" s="51" t="s">
        <v>286</v>
      </c>
      <c r="G111" s="851" t="s">
        <v>228</v>
      </c>
      <c r="H111" s="248"/>
      <c r="I111" s="248"/>
      <c r="J111" s="248"/>
      <c r="K111" s="246"/>
    </row>
    <row r="112" spans="2:11">
      <c r="B112" s="243"/>
      <c r="C112" s="247"/>
      <c r="D112" s="17"/>
      <c r="E112" s="203"/>
      <c r="F112" s="248"/>
      <c r="G112" s="248"/>
      <c r="H112" s="248"/>
      <c r="I112" s="248"/>
      <c r="J112" s="248"/>
      <c r="K112" s="246"/>
    </row>
    <row r="113" spans="2:12">
      <c r="B113" s="243"/>
      <c r="C113" s="252" t="s">
        <v>231</v>
      </c>
      <c r="D113" s="60" t="s">
        <v>582</v>
      </c>
      <c r="E113" s="60" t="s">
        <v>591</v>
      </c>
      <c r="F113" s="19" t="s">
        <v>21</v>
      </c>
      <c r="G113" s="159">
        <f>((E111)*1000)/(C53)</f>
        <v>4.2051019936507945</v>
      </c>
      <c r="H113" s="19" t="s">
        <v>20</v>
      </c>
      <c r="I113" s="19"/>
      <c r="J113" s="19"/>
      <c r="K113" s="246"/>
    </row>
    <row r="114" spans="2:12">
      <c r="B114" s="243"/>
      <c r="C114" s="252"/>
      <c r="D114" s="81"/>
      <c r="E114" s="19"/>
      <c r="F114" s="19"/>
      <c r="G114" s="19"/>
      <c r="H114" s="81"/>
      <c r="I114" s="19"/>
      <c r="J114" s="19"/>
      <c r="K114" s="246"/>
    </row>
    <row r="115" spans="2:12">
      <c r="B115" s="243"/>
      <c r="C115" s="252"/>
      <c r="D115" s="1015" t="s">
        <v>94</v>
      </c>
      <c r="E115" s="81" t="s">
        <v>288</v>
      </c>
      <c r="F115" s="119">
        <f>C14</f>
        <v>1</v>
      </c>
      <c r="G115" s="159">
        <f>1.3*1.1*(data!E17)/3</f>
        <v>16.925289333333335</v>
      </c>
      <c r="H115" s="120">
        <f>C14</f>
        <v>1</v>
      </c>
      <c r="I115" s="159">
        <f>(G115)*(H115)</f>
        <v>16.925289333333335</v>
      </c>
      <c r="J115" s="19" t="s">
        <v>20</v>
      </c>
      <c r="K115" s="246"/>
    </row>
    <row r="116" spans="2:12" ht="14.25" thickBot="1">
      <c r="B116" s="243"/>
      <c r="C116" s="253"/>
      <c r="D116" s="253"/>
      <c r="E116" s="254"/>
      <c r="F116" s="253" t="s">
        <v>17</v>
      </c>
      <c r="G116" s="254"/>
      <c r="H116" s="62" t="s">
        <v>17</v>
      </c>
      <c r="I116" s="254"/>
      <c r="J116" s="175" t="s">
        <v>322</v>
      </c>
      <c r="K116" s="619" t="str">
        <f>IF(G113&lt;=I115,"◯","×")</f>
        <v>◯</v>
      </c>
    </row>
    <row r="117" spans="2:12">
      <c r="B117" s="243"/>
      <c r="C117" s="198" t="s">
        <v>144</v>
      </c>
      <c r="D117" s="92"/>
      <c r="E117" s="92"/>
      <c r="F117" s="152" t="s">
        <v>145</v>
      </c>
      <c r="G117" s="19" t="s">
        <v>152</v>
      </c>
      <c r="H117" s="19"/>
      <c r="I117" s="19"/>
      <c r="J117" s="19"/>
      <c r="K117" s="246"/>
    </row>
    <row r="118" spans="2:12">
      <c r="B118" s="243"/>
      <c r="C118" s="96"/>
      <c r="D118" s="117" t="s">
        <v>584</v>
      </c>
      <c r="E118" s="102" t="s">
        <v>146</v>
      </c>
      <c r="F118" s="152">
        <f>D44</f>
        <v>0.91</v>
      </c>
      <c r="G118" s="19" t="s">
        <v>150</v>
      </c>
      <c r="H118" s="19"/>
      <c r="I118" s="283">
        <f>(G45)*(D45)*(F10-D45)/(F10)</f>
        <v>917.8494780000002</v>
      </c>
      <c r="J118" s="19" t="s">
        <v>91</v>
      </c>
      <c r="K118" s="246"/>
    </row>
    <row r="119" spans="2:12">
      <c r="B119" s="243"/>
      <c r="C119" s="198" t="s">
        <v>147</v>
      </c>
      <c r="D119" s="153"/>
      <c r="E119" s="92"/>
      <c r="F119" s="152" t="s">
        <v>145</v>
      </c>
      <c r="G119" s="19" t="s">
        <v>153</v>
      </c>
      <c r="H119" s="19"/>
      <c r="I119" s="283"/>
      <c r="J119" s="92"/>
      <c r="K119" s="246"/>
    </row>
    <row r="120" spans="2:12">
      <c r="B120" s="243"/>
      <c r="C120" s="96"/>
      <c r="D120" s="117" t="s">
        <v>585</v>
      </c>
      <c r="E120" s="102" t="s">
        <v>148</v>
      </c>
      <c r="F120" s="152">
        <f>D50</f>
        <v>1.82</v>
      </c>
      <c r="G120" s="19" t="s">
        <v>151</v>
      </c>
      <c r="H120" s="19"/>
      <c r="I120" s="283">
        <f>(G50)*(D50)*(F10-D50)/(F10)</f>
        <v>0</v>
      </c>
      <c r="J120" s="19" t="s">
        <v>91</v>
      </c>
      <c r="K120" s="246"/>
    </row>
    <row r="121" spans="2:12">
      <c r="B121" s="243"/>
      <c r="C121" s="199" t="s">
        <v>149</v>
      </c>
      <c r="D121" s="199"/>
      <c r="E121" s="32"/>
      <c r="F121" s="33"/>
      <c r="G121" s="248"/>
      <c r="H121" s="248"/>
      <c r="I121" s="260"/>
      <c r="J121" s="248"/>
      <c r="K121" s="246"/>
    </row>
    <row r="122" spans="2:12">
      <c r="B122" s="243"/>
      <c r="C122" s="244"/>
      <c r="D122" s="60" t="s">
        <v>586</v>
      </c>
      <c r="E122" s="616" t="s">
        <v>592</v>
      </c>
      <c r="F122" s="154">
        <f>IF(F104&gt;=F106,(F24-F104),F104)</f>
        <v>0.91</v>
      </c>
      <c r="G122" s="77">
        <f>IF(F118&gt;=F120,F34-F120,F120)</f>
        <v>1.82</v>
      </c>
      <c r="H122" s="284" t="s">
        <v>154</v>
      </c>
      <c r="I122" s="283">
        <f>(I118)+(I120)*(F122)/(G122)</f>
        <v>917.8494780000002</v>
      </c>
      <c r="J122" s="19" t="s">
        <v>91</v>
      </c>
      <c r="K122" s="89"/>
    </row>
    <row r="123" spans="2:12">
      <c r="B123" s="243"/>
      <c r="C123" s="199" t="s">
        <v>155</v>
      </c>
      <c r="D123" s="199"/>
      <c r="E123" s="40"/>
      <c r="F123" s="33"/>
      <c r="G123" s="19"/>
      <c r="H123" s="19"/>
      <c r="I123" s="283"/>
      <c r="J123" s="19"/>
      <c r="K123" s="1005">
        <f>MAX(I122,I124)</f>
        <v>917.8494780000002</v>
      </c>
      <c r="L123" s="42"/>
    </row>
    <row r="124" spans="2:12">
      <c r="B124" s="243"/>
      <c r="C124" s="247"/>
      <c r="D124" s="60" t="s">
        <v>156</v>
      </c>
      <c r="E124" s="1006" t="s">
        <v>593</v>
      </c>
      <c r="F124" s="61">
        <f>IF(I92=0,0,F10-G94)</f>
        <v>0</v>
      </c>
      <c r="G124" s="157">
        <f>(F10-F124)</f>
        <v>1.82</v>
      </c>
      <c r="H124" s="155" t="s">
        <v>154</v>
      </c>
      <c r="I124" s="283">
        <f>(I120)+(I118)*(F124)/(G124)</f>
        <v>0</v>
      </c>
      <c r="J124" s="19" t="s">
        <v>91</v>
      </c>
      <c r="K124" s="89"/>
      <c r="L124" s="42"/>
    </row>
    <row r="125" spans="2:12">
      <c r="B125" s="243"/>
      <c r="C125" s="198" t="s">
        <v>157</v>
      </c>
      <c r="D125" s="202"/>
      <c r="E125" s="158">
        <f>I66+(K123)</f>
        <v>1018.5538909000002</v>
      </c>
      <c r="F125" s="51" t="s">
        <v>286</v>
      </c>
      <c r="G125" s="851" t="s">
        <v>229</v>
      </c>
      <c r="H125" s="248"/>
      <c r="I125" s="248"/>
      <c r="J125" s="248"/>
      <c r="K125" s="246"/>
      <c r="L125" s="42"/>
    </row>
    <row r="126" spans="2:12">
      <c r="B126" s="243"/>
      <c r="C126" s="247"/>
      <c r="D126" s="17"/>
      <c r="E126" s="203"/>
      <c r="F126" s="248"/>
      <c r="G126" s="248"/>
      <c r="H126" s="248"/>
      <c r="I126" s="248"/>
      <c r="J126" s="248"/>
      <c r="K126" s="246"/>
      <c r="L126" s="42"/>
    </row>
    <row r="127" spans="2:12">
      <c r="B127" s="243"/>
      <c r="C127" s="585" t="s">
        <v>231</v>
      </c>
      <c r="D127" s="60" t="s">
        <v>594</v>
      </c>
      <c r="E127" s="117" t="s">
        <v>596</v>
      </c>
      <c r="F127" s="19" t="s">
        <v>21</v>
      </c>
      <c r="G127" s="159">
        <f>((E125)*1000)/(C53)</f>
        <v>5.2791908825396829</v>
      </c>
      <c r="H127" s="19" t="s">
        <v>20</v>
      </c>
      <c r="I127" s="19"/>
      <c r="J127" s="248"/>
      <c r="K127" s="246"/>
      <c r="L127" s="42"/>
    </row>
    <row r="128" spans="2:12">
      <c r="B128" s="243"/>
      <c r="C128" s="252"/>
      <c r="D128" s="81"/>
      <c r="E128" s="19"/>
      <c r="F128" s="19"/>
      <c r="G128" s="19"/>
      <c r="H128" s="81"/>
      <c r="I128" s="19"/>
      <c r="J128" s="248"/>
      <c r="K128" s="246"/>
      <c r="L128" s="42"/>
    </row>
    <row r="129" spans="2:12">
      <c r="B129" s="243"/>
      <c r="C129" s="252"/>
      <c r="D129" s="985" t="s">
        <v>94</v>
      </c>
      <c r="E129" s="81" t="s">
        <v>289</v>
      </c>
      <c r="F129" s="119">
        <f>C14</f>
        <v>1</v>
      </c>
      <c r="G129" s="159">
        <f>0.8*2*(data!E17)/3</f>
        <v>18.937386666666665</v>
      </c>
      <c r="H129" s="120">
        <f>C14</f>
        <v>1</v>
      </c>
      <c r="I129" s="159">
        <f>(G129)*(H129)</f>
        <v>18.937386666666665</v>
      </c>
      <c r="J129" s="51" t="s">
        <v>93</v>
      </c>
      <c r="K129" s="246"/>
      <c r="L129" s="42"/>
    </row>
    <row r="130" spans="2:12" ht="14.25" thickBot="1">
      <c r="B130" s="261"/>
      <c r="C130" s="253"/>
      <c r="D130" s="253"/>
      <c r="E130" s="254"/>
      <c r="F130" s="253" t="s">
        <v>17</v>
      </c>
      <c r="G130" s="254"/>
      <c r="H130" s="62" t="s">
        <v>17</v>
      </c>
      <c r="I130" s="254"/>
      <c r="J130" s="175" t="s">
        <v>322</v>
      </c>
      <c r="K130" s="619" t="str">
        <f>IF(G127&lt;=I129,"◯","×")</f>
        <v>◯</v>
      </c>
      <c r="L130" s="42"/>
    </row>
    <row r="131" spans="2:12">
      <c r="B131" s="63" t="s">
        <v>269</v>
      </c>
      <c r="C131" s="244"/>
      <c r="D131" s="245"/>
      <c r="E131" s="245"/>
      <c r="F131" s="245"/>
      <c r="G131" s="245"/>
      <c r="H131" s="245"/>
      <c r="I131" s="245"/>
      <c r="J131" s="245"/>
      <c r="K131" s="245"/>
      <c r="L131" s="42"/>
    </row>
    <row r="132" spans="2:12">
      <c r="B132" s="243"/>
      <c r="C132" s="244" t="s">
        <v>290</v>
      </c>
      <c r="D132" s="220" t="s">
        <v>291</v>
      </c>
      <c r="E132" s="88">
        <f>(E28)</f>
        <v>818.99999999999989</v>
      </c>
      <c r="F132" s="118">
        <f>(F10)</f>
        <v>1.82</v>
      </c>
      <c r="G132" s="19" t="s">
        <v>88</v>
      </c>
      <c r="H132" s="125">
        <f>((E132)*(F132)*(F132))/8</f>
        <v>339.10694999999998</v>
      </c>
      <c r="I132" s="19" t="s">
        <v>91</v>
      </c>
      <c r="J132" s="245"/>
      <c r="K132" s="245"/>
      <c r="L132" s="42"/>
    </row>
    <row r="133" spans="2:12">
      <c r="B133" s="243"/>
      <c r="C133" s="244"/>
      <c r="D133" s="245"/>
      <c r="E133" s="17" t="s">
        <v>18</v>
      </c>
      <c r="F133" s="203" t="s">
        <v>92</v>
      </c>
      <c r="G133" s="248"/>
      <c r="H133" s="248"/>
      <c r="I133" s="248"/>
      <c r="J133" s="245"/>
      <c r="K133" s="245"/>
      <c r="L133" s="42"/>
    </row>
    <row r="134" spans="2:12">
      <c r="B134" s="243"/>
      <c r="C134" s="198" t="s">
        <v>157</v>
      </c>
      <c r="D134" s="202"/>
      <c r="E134" s="158">
        <f>I66+H132</f>
        <v>439.81136290000001</v>
      </c>
      <c r="F134" s="51" t="s">
        <v>286</v>
      </c>
      <c r="G134" s="472" t="s">
        <v>267</v>
      </c>
      <c r="H134" s="245"/>
      <c r="I134" s="245"/>
      <c r="J134" s="245"/>
      <c r="K134" s="245"/>
      <c r="L134" s="42"/>
    </row>
    <row r="135" spans="2:12">
      <c r="B135" s="243"/>
      <c r="C135" s="247"/>
      <c r="D135" s="17"/>
      <c r="E135" s="203"/>
      <c r="F135" s="248"/>
      <c r="G135" s="248"/>
      <c r="H135" s="245"/>
      <c r="I135" s="245"/>
      <c r="J135" s="245"/>
      <c r="K135" s="245"/>
      <c r="L135" s="42"/>
    </row>
    <row r="136" spans="2:12">
      <c r="B136" s="243"/>
      <c r="C136" s="252" t="s">
        <v>9</v>
      </c>
      <c r="D136" s="60" t="s">
        <v>581</v>
      </c>
      <c r="E136" s="117" t="s">
        <v>314</v>
      </c>
      <c r="F136" s="19" t="s">
        <v>21</v>
      </c>
      <c r="G136" s="159">
        <f>((E134)*1000)/(C53)</f>
        <v>2.2795535492063492</v>
      </c>
      <c r="H136" s="19" t="s">
        <v>20</v>
      </c>
      <c r="I136" s="92"/>
      <c r="J136" s="245"/>
      <c r="K136" s="245"/>
      <c r="L136" s="42"/>
    </row>
    <row r="137" spans="2:12">
      <c r="B137" s="243"/>
      <c r="C137" s="244"/>
      <c r="D137" s="92"/>
      <c r="E137" s="92"/>
      <c r="F137" s="92"/>
      <c r="G137" s="92"/>
      <c r="H137" s="92"/>
      <c r="I137" s="92"/>
      <c r="J137" s="245"/>
      <c r="K137" s="245"/>
      <c r="L137" s="42"/>
    </row>
    <row r="138" spans="2:12">
      <c r="B138" s="243"/>
      <c r="C138" s="252"/>
      <c r="D138" s="985" t="s">
        <v>94</v>
      </c>
      <c r="E138" s="19" t="s">
        <v>89</v>
      </c>
      <c r="F138" s="119">
        <f>C14</f>
        <v>1</v>
      </c>
      <c r="G138" s="159">
        <f>1.1*(data!E17)/3</f>
        <v>13.019453333333333</v>
      </c>
      <c r="H138" s="120">
        <f>C14</f>
        <v>1</v>
      </c>
      <c r="I138" s="280">
        <f>(G138)*(H138)</f>
        <v>13.019453333333333</v>
      </c>
      <c r="J138" s="51" t="s">
        <v>93</v>
      </c>
      <c r="K138" s="246"/>
      <c r="L138" s="42"/>
    </row>
    <row r="139" spans="2:12" ht="14.25" thickBot="1">
      <c r="B139" s="243"/>
      <c r="C139" s="253"/>
      <c r="D139" s="253"/>
      <c r="E139" s="254"/>
      <c r="F139" s="253" t="s">
        <v>17</v>
      </c>
      <c r="G139" s="254"/>
      <c r="H139" s="62" t="s">
        <v>17</v>
      </c>
      <c r="I139" s="254"/>
      <c r="J139" s="175" t="s">
        <v>322</v>
      </c>
      <c r="K139" s="619" t="str">
        <f>IF(G136&lt;=I138,"◯","×")</f>
        <v>◯</v>
      </c>
    </row>
    <row r="140" spans="2:12">
      <c r="B140" s="243"/>
      <c r="C140" s="244"/>
      <c r="D140" s="245"/>
      <c r="E140" s="245"/>
      <c r="F140" s="245"/>
      <c r="G140" s="245"/>
      <c r="H140" s="245"/>
      <c r="I140" s="245"/>
      <c r="J140" s="245"/>
      <c r="K140" s="250"/>
    </row>
    <row r="141" spans="2:12">
      <c r="B141" s="243"/>
      <c r="C141" s="244" t="s">
        <v>290</v>
      </c>
      <c r="D141" s="220" t="s">
        <v>291</v>
      </c>
      <c r="E141" s="88">
        <f>(E29)</f>
        <v>2574.3900000000003</v>
      </c>
      <c r="F141" s="118">
        <f>(F10)</f>
        <v>1.82</v>
      </c>
      <c r="G141" s="19" t="s">
        <v>88</v>
      </c>
      <c r="H141" s="125">
        <f>((E141)*(F141)*(F141))/8</f>
        <v>1065.9261795000002</v>
      </c>
      <c r="I141" s="19" t="s">
        <v>91</v>
      </c>
      <c r="J141" s="245"/>
      <c r="K141" s="245"/>
      <c r="L141" s="42"/>
    </row>
    <row r="142" spans="2:12">
      <c r="B142" s="243"/>
      <c r="C142" s="244"/>
      <c r="D142" s="245"/>
      <c r="E142" s="17" t="s">
        <v>18</v>
      </c>
      <c r="F142" s="890" t="s">
        <v>92</v>
      </c>
      <c r="G142" s="248"/>
      <c r="H142" s="248"/>
      <c r="I142" s="248"/>
      <c r="J142" s="245"/>
      <c r="K142" s="245"/>
      <c r="L142" s="42"/>
    </row>
    <row r="143" spans="2:12">
      <c r="B143" s="243"/>
      <c r="C143" s="198" t="s">
        <v>157</v>
      </c>
      <c r="D143" s="202"/>
      <c r="E143" s="158">
        <f>I66+H141</f>
        <v>1166.6305924000003</v>
      </c>
      <c r="F143" s="51" t="s">
        <v>286</v>
      </c>
      <c r="G143" s="851" t="s">
        <v>228</v>
      </c>
      <c r="H143" s="245"/>
      <c r="I143" s="245"/>
      <c r="J143" s="245"/>
      <c r="K143" s="245"/>
      <c r="L143" s="42"/>
    </row>
    <row r="144" spans="2:12">
      <c r="B144" s="243"/>
      <c r="C144" s="247"/>
      <c r="D144" s="17"/>
      <c r="E144" s="203"/>
      <c r="F144" s="248"/>
      <c r="G144" s="248"/>
      <c r="H144" s="245"/>
      <c r="I144" s="245"/>
      <c r="J144" s="245"/>
      <c r="K144" s="245"/>
      <c r="L144" s="42"/>
    </row>
    <row r="145" spans="2:12">
      <c r="B145" s="243"/>
      <c r="C145" s="585" t="s">
        <v>231</v>
      </c>
      <c r="D145" s="60" t="s">
        <v>582</v>
      </c>
      <c r="E145" s="117" t="s">
        <v>591</v>
      </c>
      <c r="F145" s="19" t="s">
        <v>21</v>
      </c>
      <c r="G145" s="159">
        <f>((E143)*1000)/(C53)</f>
        <v>6.046676215873017</v>
      </c>
      <c r="H145" s="19" t="s">
        <v>20</v>
      </c>
      <c r="I145" s="92"/>
      <c r="J145" s="245"/>
      <c r="K145" s="246"/>
      <c r="L145" s="42"/>
    </row>
    <row r="146" spans="2:12">
      <c r="B146" s="243"/>
      <c r="C146" s="244"/>
      <c r="D146" s="92"/>
      <c r="E146" s="92"/>
      <c r="F146" s="92"/>
      <c r="G146" s="92"/>
      <c r="H146" s="92"/>
      <c r="I146" s="92"/>
      <c r="J146" s="245"/>
      <c r="K146" s="246"/>
      <c r="L146" s="42"/>
    </row>
    <row r="147" spans="2:12">
      <c r="B147" s="243"/>
      <c r="C147" s="252"/>
      <c r="D147" s="985" t="s">
        <v>94</v>
      </c>
      <c r="E147" s="81" t="s">
        <v>288</v>
      </c>
      <c r="F147" s="119">
        <f>C14</f>
        <v>1</v>
      </c>
      <c r="G147" s="159">
        <f>1.3*1.1*(data!E17)/3</f>
        <v>16.925289333333335</v>
      </c>
      <c r="H147" s="120">
        <f>C14</f>
        <v>1</v>
      </c>
      <c r="I147" s="159">
        <f>(G147)*(H147)</f>
        <v>16.925289333333335</v>
      </c>
      <c r="J147" s="51" t="s">
        <v>93</v>
      </c>
      <c r="K147" s="246"/>
      <c r="L147" s="42"/>
    </row>
    <row r="148" spans="2:12" ht="14.25" thickBot="1">
      <c r="B148" s="243"/>
      <c r="C148" s="253"/>
      <c r="D148" s="253"/>
      <c r="E148" s="254"/>
      <c r="F148" s="253" t="s">
        <v>17</v>
      </c>
      <c r="G148" s="254"/>
      <c r="H148" s="62" t="s">
        <v>17</v>
      </c>
      <c r="I148" s="254"/>
      <c r="J148" s="175" t="s">
        <v>322</v>
      </c>
      <c r="K148" s="619" t="str">
        <f>IF(G145&lt;=I147,"◯","×")</f>
        <v>◯</v>
      </c>
    </row>
    <row r="149" spans="2:12">
      <c r="B149" s="243"/>
      <c r="C149" s="244"/>
      <c r="D149" s="245"/>
      <c r="E149" s="245"/>
      <c r="F149" s="245"/>
      <c r="G149" s="245"/>
      <c r="H149" s="245"/>
      <c r="I149" s="245"/>
      <c r="J149" s="245"/>
      <c r="K149" s="250"/>
    </row>
    <row r="150" spans="2:12">
      <c r="B150" s="243"/>
      <c r="C150" s="244" t="s">
        <v>290</v>
      </c>
      <c r="D150" s="220" t="s">
        <v>291</v>
      </c>
      <c r="E150" s="88">
        <f>(E30)</f>
        <v>3325.1400000000003</v>
      </c>
      <c r="F150" s="118">
        <f>(F10)</f>
        <v>1.82</v>
      </c>
      <c r="G150" s="19" t="s">
        <v>88</v>
      </c>
      <c r="H150" s="125">
        <f>((E150)*(F150)*(F150))/8</f>
        <v>1376.7742170000001</v>
      </c>
      <c r="I150" s="19" t="s">
        <v>91</v>
      </c>
      <c r="J150" s="245"/>
      <c r="K150" s="245"/>
      <c r="L150" s="42"/>
    </row>
    <row r="151" spans="2:12">
      <c r="B151" s="243"/>
      <c r="C151" s="244"/>
      <c r="D151" s="245"/>
      <c r="E151" s="17" t="s">
        <v>18</v>
      </c>
      <c r="F151" s="203" t="s">
        <v>92</v>
      </c>
      <c r="G151" s="248"/>
      <c r="H151" s="248"/>
      <c r="I151" s="248"/>
      <c r="J151" s="245"/>
      <c r="K151" s="245"/>
      <c r="L151" s="42"/>
    </row>
    <row r="152" spans="2:12">
      <c r="B152" s="243"/>
      <c r="C152" s="198" t="s">
        <v>157</v>
      </c>
      <c r="D152" s="202"/>
      <c r="E152" s="158">
        <f>I66+H150</f>
        <v>1477.4786299000002</v>
      </c>
      <c r="F152" s="51" t="s">
        <v>286</v>
      </c>
      <c r="G152" s="851" t="s">
        <v>229</v>
      </c>
      <c r="H152" s="245"/>
      <c r="I152" s="245"/>
      <c r="J152" s="245"/>
      <c r="K152" s="245"/>
      <c r="L152" s="42"/>
    </row>
    <row r="153" spans="2:12">
      <c r="B153" s="243"/>
      <c r="C153" s="247"/>
      <c r="D153" s="17"/>
      <c r="E153" s="203"/>
      <c r="F153" s="248"/>
      <c r="G153" s="248"/>
      <c r="H153" s="245"/>
      <c r="I153" s="245"/>
      <c r="J153" s="245"/>
      <c r="K153" s="245"/>
      <c r="L153" s="42"/>
    </row>
    <row r="154" spans="2:12">
      <c r="B154" s="243"/>
      <c r="C154" s="585" t="s">
        <v>231</v>
      </c>
      <c r="D154" s="60" t="s">
        <v>594</v>
      </c>
      <c r="E154" s="117" t="s">
        <v>339</v>
      </c>
      <c r="F154" s="19" t="s">
        <v>21</v>
      </c>
      <c r="G154" s="159">
        <f>((E152)*1000)/(C53)</f>
        <v>7.6578095492063509</v>
      </c>
      <c r="H154" s="19" t="s">
        <v>20</v>
      </c>
      <c r="I154" s="92"/>
      <c r="J154" s="245"/>
      <c r="K154" s="246"/>
      <c r="L154" s="42"/>
    </row>
    <row r="155" spans="2:12">
      <c r="B155" s="243"/>
      <c r="C155" s="244"/>
      <c r="D155" s="92"/>
      <c r="E155" s="92"/>
      <c r="F155" s="92"/>
      <c r="G155" s="92"/>
      <c r="H155" s="92"/>
      <c r="I155" s="92"/>
      <c r="J155" s="245"/>
      <c r="K155" s="246"/>
      <c r="L155" s="42"/>
    </row>
    <row r="156" spans="2:12">
      <c r="B156" s="243"/>
      <c r="C156" s="252"/>
      <c r="D156" s="985" t="s">
        <v>94</v>
      </c>
      <c r="E156" s="81" t="s">
        <v>289</v>
      </c>
      <c r="F156" s="119">
        <f>C14</f>
        <v>1</v>
      </c>
      <c r="G156" s="159">
        <f>0.8*2*(data!E17)/3</f>
        <v>18.937386666666665</v>
      </c>
      <c r="H156" s="120">
        <f>C14</f>
        <v>1</v>
      </c>
      <c r="I156" s="159">
        <f>(G156)*(H156)</f>
        <v>18.937386666666665</v>
      </c>
      <c r="J156" s="51" t="s">
        <v>93</v>
      </c>
      <c r="K156" s="246"/>
      <c r="L156" s="42"/>
    </row>
    <row r="157" spans="2:12" ht="14.25" thickBot="1">
      <c r="B157" s="261"/>
      <c r="C157" s="253"/>
      <c r="D157" s="253"/>
      <c r="E157" s="254"/>
      <c r="F157" s="253" t="s">
        <v>17</v>
      </c>
      <c r="G157" s="254"/>
      <c r="H157" s="62" t="s">
        <v>17</v>
      </c>
      <c r="I157" s="254"/>
      <c r="J157" s="175" t="s">
        <v>322</v>
      </c>
      <c r="K157" s="619" t="str">
        <f>IF(G154&lt;=I156,"◯","×")</f>
        <v>◯</v>
      </c>
      <c r="L157" s="42"/>
    </row>
    <row r="158" spans="2:12">
      <c r="B158" s="63" t="s">
        <v>292</v>
      </c>
      <c r="C158" s="244"/>
      <c r="D158" s="245"/>
      <c r="E158" s="245"/>
      <c r="F158" s="245"/>
      <c r="G158" s="245"/>
      <c r="H158" s="245"/>
      <c r="I158" s="245"/>
      <c r="J158" s="245"/>
      <c r="K158" s="245"/>
      <c r="L158" s="42"/>
    </row>
    <row r="159" spans="2:12">
      <c r="B159" s="243"/>
      <c r="C159" s="244" t="s">
        <v>290</v>
      </c>
      <c r="D159" s="220" t="s">
        <v>291</v>
      </c>
      <c r="E159" s="88">
        <f>(E31)</f>
        <v>1092</v>
      </c>
      <c r="F159" s="118">
        <f>(F10)</f>
        <v>1.82</v>
      </c>
      <c r="G159" s="19" t="s">
        <v>88</v>
      </c>
      <c r="H159" s="125">
        <f>((E159)*(F159)*(F159))/8</f>
        <v>452.14260000000002</v>
      </c>
      <c r="I159" s="19" t="s">
        <v>91</v>
      </c>
      <c r="J159" s="245"/>
      <c r="K159" s="245"/>
      <c r="L159" s="42"/>
    </row>
    <row r="160" spans="2:12">
      <c r="B160" s="243"/>
      <c r="C160" s="244"/>
      <c r="D160" s="245"/>
      <c r="E160" s="17" t="s">
        <v>18</v>
      </c>
      <c r="F160" s="203" t="s">
        <v>92</v>
      </c>
      <c r="G160" s="248"/>
      <c r="H160" s="248"/>
      <c r="I160" s="248"/>
      <c r="J160" s="245"/>
      <c r="K160" s="245"/>
      <c r="L160" s="42"/>
    </row>
    <row r="161" spans="2:12">
      <c r="B161" s="243"/>
      <c r="C161" s="198" t="s">
        <v>157</v>
      </c>
      <c r="D161" s="202"/>
      <c r="E161" s="158">
        <f>I66+H159</f>
        <v>552.84701289999998</v>
      </c>
      <c r="F161" s="51" t="s">
        <v>286</v>
      </c>
      <c r="G161" s="472" t="s">
        <v>267</v>
      </c>
      <c r="H161" s="245"/>
      <c r="I161" s="245"/>
      <c r="J161" s="245"/>
      <c r="K161" s="245"/>
      <c r="L161" s="42"/>
    </row>
    <row r="162" spans="2:12">
      <c r="B162" s="243"/>
      <c r="C162" s="247"/>
      <c r="D162" s="17"/>
      <c r="E162" s="203"/>
      <c r="F162" s="248"/>
      <c r="G162" s="248"/>
      <c r="H162" s="245"/>
      <c r="I162" s="245"/>
      <c r="J162" s="245"/>
      <c r="K162" s="245"/>
      <c r="L162" s="42"/>
    </row>
    <row r="163" spans="2:12">
      <c r="B163" s="243"/>
      <c r="C163" s="252" t="s">
        <v>9</v>
      </c>
      <c r="D163" s="60" t="s">
        <v>581</v>
      </c>
      <c r="E163" s="117" t="s">
        <v>314</v>
      </c>
      <c r="F163" s="19" t="s">
        <v>21</v>
      </c>
      <c r="G163" s="159">
        <f>((E161)*1000)/(C53)</f>
        <v>2.8654202158730158</v>
      </c>
      <c r="H163" s="19" t="s">
        <v>20</v>
      </c>
      <c r="I163" s="92"/>
      <c r="J163" s="245"/>
      <c r="K163" s="245"/>
      <c r="L163" s="42"/>
    </row>
    <row r="164" spans="2:12">
      <c r="B164" s="243"/>
      <c r="C164" s="244"/>
      <c r="D164" s="92"/>
      <c r="E164" s="92"/>
      <c r="F164" s="92"/>
      <c r="G164" s="92"/>
      <c r="H164" s="92"/>
      <c r="I164" s="92"/>
      <c r="J164" s="245"/>
      <c r="K164" s="245"/>
      <c r="L164" s="42"/>
    </row>
    <row r="165" spans="2:12">
      <c r="B165" s="243"/>
      <c r="C165" s="252"/>
      <c r="D165" s="985" t="s">
        <v>94</v>
      </c>
      <c r="E165" s="19" t="s">
        <v>89</v>
      </c>
      <c r="F165" s="119">
        <f>C14</f>
        <v>1</v>
      </c>
      <c r="G165" s="159">
        <f>1.1*(data!E17)/3</f>
        <v>13.019453333333333</v>
      </c>
      <c r="H165" s="120">
        <f>C14</f>
        <v>1</v>
      </c>
      <c r="I165" s="280">
        <f>(G165)*(H165)</f>
        <v>13.019453333333333</v>
      </c>
      <c r="J165" s="51" t="s">
        <v>93</v>
      </c>
      <c r="K165" s="248"/>
      <c r="L165" s="42"/>
    </row>
    <row r="166" spans="2:12" ht="14.25" thickBot="1">
      <c r="B166" s="243"/>
      <c r="C166" s="253"/>
      <c r="D166" s="253"/>
      <c r="E166" s="254"/>
      <c r="F166" s="253" t="s">
        <v>17</v>
      </c>
      <c r="G166" s="254"/>
      <c r="H166" s="62" t="s">
        <v>17</v>
      </c>
      <c r="I166" s="254"/>
      <c r="J166" s="175" t="s">
        <v>322</v>
      </c>
      <c r="K166" s="619" t="str">
        <f>IF(G163&lt;=I165,"◯","×")</f>
        <v>◯</v>
      </c>
      <c r="L166" s="42"/>
    </row>
    <row r="167" spans="2:12">
      <c r="B167" s="243"/>
      <c r="C167" s="244"/>
      <c r="D167" s="245"/>
      <c r="E167" s="245"/>
      <c r="F167" s="245"/>
      <c r="G167" s="245"/>
      <c r="H167" s="245"/>
      <c r="I167" s="245"/>
      <c r="J167" s="245"/>
      <c r="K167" s="245"/>
      <c r="L167" s="42"/>
    </row>
    <row r="168" spans="2:12">
      <c r="B168" s="243"/>
      <c r="C168" s="244" t="s">
        <v>290</v>
      </c>
      <c r="D168" s="220" t="s">
        <v>291</v>
      </c>
      <c r="E168" s="88">
        <f>(E32)</f>
        <v>3432.52</v>
      </c>
      <c r="F168" s="118">
        <f>(F10)</f>
        <v>1.82</v>
      </c>
      <c r="G168" s="19" t="s">
        <v>88</v>
      </c>
      <c r="H168" s="125">
        <f>((E168)*(F168)*(F168))/8</f>
        <v>1421.2349060000001</v>
      </c>
      <c r="I168" s="19" t="s">
        <v>91</v>
      </c>
      <c r="J168" s="245"/>
      <c r="K168" s="245"/>
      <c r="L168" s="42"/>
    </row>
    <row r="169" spans="2:12">
      <c r="B169" s="243"/>
      <c r="C169" s="244"/>
      <c r="D169" s="245"/>
      <c r="E169" s="17" t="s">
        <v>18</v>
      </c>
      <c r="F169" s="203" t="s">
        <v>92</v>
      </c>
      <c r="G169" s="248"/>
      <c r="H169" s="248"/>
      <c r="I169" s="248"/>
      <c r="J169" s="245"/>
      <c r="K169" s="245"/>
      <c r="L169" s="42"/>
    </row>
    <row r="170" spans="2:12">
      <c r="B170" s="243"/>
      <c r="C170" s="198" t="s">
        <v>157</v>
      </c>
      <c r="D170" s="202"/>
      <c r="E170" s="158">
        <f>I66+H168</f>
        <v>1521.9393189000002</v>
      </c>
      <c r="F170" s="51" t="s">
        <v>286</v>
      </c>
      <c r="G170" s="851" t="s">
        <v>228</v>
      </c>
      <c r="H170" s="245"/>
      <c r="I170" s="245"/>
      <c r="J170" s="245"/>
      <c r="K170" s="245"/>
      <c r="L170" s="42"/>
    </row>
    <row r="171" spans="2:12">
      <c r="B171" s="243"/>
      <c r="C171" s="247"/>
      <c r="D171" s="17"/>
      <c r="E171" s="203"/>
      <c r="F171" s="248"/>
      <c r="G171" s="248"/>
      <c r="H171" s="245"/>
      <c r="I171" s="245"/>
      <c r="J171" s="245"/>
      <c r="K171" s="245"/>
      <c r="L171" s="42"/>
    </row>
    <row r="172" spans="2:12">
      <c r="B172" s="243"/>
      <c r="C172" s="585" t="s">
        <v>231</v>
      </c>
      <c r="D172" s="60" t="s">
        <v>582</v>
      </c>
      <c r="E172" s="117" t="s">
        <v>338</v>
      </c>
      <c r="F172" s="19" t="s">
        <v>21</v>
      </c>
      <c r="G172" s="159">
        <f>((E170)*1000)/(C53)</f>
        <v>7.8882504380952394</v>
      </c>
      <c r="H172" s="19" t="s">
        <v>20</v>
      </c>
      <c r="I172" s="92"/>
      <c r="J172" s="245"/>
      <c r="K172" s="245"/>
      <c r="L172" s="42"/>
    </row>
    <row r="173" spans="2:12">
      <c r="B173" s="243"/>
      <c r="C173" s="244"/>
      <c r="D173" s="92"/>
      <c r="E173" s="92"/>
      <c r="F173" s="92"/>
      <c r="G173" s="92"/>
      <c r="H173" s="92"/>
      <c r="I173" s="92"/>
      <c r="J173" s="245"/>
      <c r="K173" s="245"/>
      <c r="L173" s="42"/>
    </row>
    <row r="174" spans="2:12">
      <c r="B174" s="243"/>
      <c r="C174" s="252"/>
      <c r="D174" s="985" t="s">
        <v>94</v>
      </c>
      <c r="E174" s="81" t="s">
        <v>288</v>
      </c>
      <c r="F174" s="119">
        <f>C14</f>
        <v>1</v>
      </c>
      <c r="G174" s="159">
        <f>1.3*1.1*(data!E17)/3</f>
        <v>16.925289333333335</v>
      </c>
      <c r="H174" s="120">
        <f>C14</f>
        <v>1</v>
      </c>
      <c r="I174" s="159">
        <f>(G174)*(H174)</f>
        <v>16.925289333333335</v>
      </c>
      <c r="J174" s="51" t="s">
        <v>93</v>
      </c>
      <c r="K174" s="248"/>
      <c r="L174" s="42"/>
    </row>
    <row r="175" spans="2:12" ht="14.25" thickBot="1">
      <c r="B175" s="243"/>
      <c r="C175" s="253"/>
      <c r="D175" s="253"/>
      <c r="E175" s="254"/>
      <c r="F175" s="253" t="s">
        <v>17</v>
      </c>
      <c r="G175" s="254"/>
      <c r="H175" s="62" t="s">
        <v>17</v>
      </c>
      <c r="I175" s="254"/>
      <c r="J175" s="175" t="s">
        <v>322</v>
      </c>
      <c r="K175" s="619" t="str">
        <f>IF(G172&lt;=I174,"◯","×")</f>
        <v>◯</v>
      </c>
      <c r="L175" s="42"/>
    </row>
    <row r="176" spans="2:12">
      <c r="B176" s="243"/>
      <c r="C176" s="244"/>
      <c r="D176" s="245"/>
      <c r="E176" s="245"/>
      <c r="F176" s="245"/>
      <c r="G176" s="245"/>
      <c r="H176" s="245"/>
      <c r="I176" s="245"/>
      <c r="J176" s="245"/>
      <c r="K176" s="245"/>
      <c r="L176" s="42"/>
    </row>
    <row r="177" spans="2:12">
      <c r="B177" s="243"/>
      <c r="C177" s="244" t="s">
        <v>290</v>
      </c>
      <c r="D177" s="220" t="s">
        <v>291</v>
      </c>
      <c r="E177" s="88">
        <f>(E33)</f>
        <v>4433.5200000000004</v>
      </c>
      <c r="F177" s="118">
        <f>(F10)</f>
        <v>1.82</v>
      </c>
      <c r="G177" s="19" t="s">
        <v>88</v>
      </c>
      <c r="H177" s="125">
        <f>((E177)*(F177)*(F177))/8</f>
        <v>1835.6989560000004</v>
      </c>
      <c r="I177" s="19" t="s">
        <v>91</v>
      </c>
      <c r="J177" s="245"/>
      <c r="K177" s="246"/>
    </row>
    <row r="178" spans="2:12">
      <c r="B178" s="243"/>
      <c r="C178" s="244"/>
      <c r="D178" s="245"/>
      <c r="E178" s="17" t="s">
        <v>18</v>
      </c>
      <c r="F178" s="203" t="s">
        <v>92</v>
      </c>
      <c r="G178" s="248"/>
      <c r="H178" s="248"/>
      <c r="I178" s="248"/>
      <c r="J178" s="245"/>
      <c r="K178" s="246"/>
    </row>
    <row r="179" spans="2:12">
      <c r="B179" s="243"/>
      <c r="C179" s="198" t="s">
        <v>157</v>
      </c>
      <c r="D179" s="202"/>
      <c r="E179" s="158">
        <f>I66+H177</f>
        <v>1936.4033689000005</v>
      </c>
      <c r="F179" s="51" t="s">
        <v>286</v>
      </c>
      <c r="G179" s="851" t="s">
        <v>229</v>
      </c>
      <c r="H179" s="245"/>
      <c r="I179" s="245"/>
      <c r="J179" s="245"/>
      <c r="K179" s="246"/>
    </row>
    <row r="180" spans="2:12">
      <c r="B180" s="243"/>
      <c r="C180" s="247"/>
      <c r="D180" s="17"/>
      <c r="E180" s="203"/>
      <c r="F180" s="248"/>
      <c r="G180" s="248"/>
      <c r="H180" s="245"/>
      <c r="I180" s="245"/>
      <c r="J180" s="245"/>
      <c r="K180" s="246"/>
    </row>
    <row r="181" spans="2:12">
      <c r="B181" s="243"/>
      <c r="C181" s="585" t="s">
        <v>231</v>
      </c>
      <c r="D181" s="60" t="s">
        <v>594</v>
      </c>
      <c r="E181" s="117" t="s">
        <v>339</v>
      </c>
      <c r="F181" s="19" t="s">
        <v>21</v>
      </c>
      <c r="G181" s="159">
        <f>((E179)*1000)/(C53)</f>
        <v>10.036428215873018</v>
      </c>
      <c r="H181" s="19" t="s">
        <v>20</v>
      </c>
      <c r="I181" s="92"/>
      <c r="J181" s="245"/>
      <c r="K181" s="246"/>
    </row>
    <row r="182" spans="2:12">
      <c r="B182" s="243"/>
      <c r="C182" s="244"/>
      <c r="D182" s="92"/>
      <c r="E182" s="92"/>
      <c r="F182" s="92"/>
      <c r="G182" s="92"/>
      <c r="H182" s="92"/>
      <c r="I182" s="92"/>
      <c r="J182" s="245"/>
      <c r="K182" s="246"/>
    </row>
    <row r="183" spans="2:12">
      <c r="B183" s="243"/>
      <c r="C183" s="252"/>
      <c r="D183" s="985" t="s">
        <v>94</v>
      </c>
      <c r="E183" s="81" t="s">
        <v>289</v>
      </c>
      <c r="F183" s="119">
        <f>C14</f>
        <v>1</v>
      </c>
      <c r="G183" s="159">
        <f>0.8*2*(data!E17)/3</f>
        <v>18.937386666666665</v>
      </c>
      <c r="H183" s="120">
        <f>C14</f>
        <v>1</v>
      </c>
      <c r="I183" s="159">
        <f>(G183)*(H183)</f>
        <v>18.937386666666665</v>
      </c>
      <c r="J183" s="51" t="s">
        <v>93</v>
      </c>
      <c r="K183" s="246"/>
      <c r="L183" s="42"/>
    </row>
    <row r="184" spans="2:12" ht="14.25" thickBot="1">
      <c r="B184" s="243"/>
      <c r="C184" s="252"/>
      <c r="D184" s="252"/>
      <c r="E184" s="248"/>
      <c r="F184" s="252" t="s">
        <v>17</v>
      </c>
      <c r="G184" s="248"/>
      <c r="H184" s="64" t="s">
        <v>17</v>
      </c>
      <c r="I184" s="248"/>
      <c r="J184" s="175" t="s">
        <v>322</v>
      </c>
      <c r="K184" s="619" t="str">
        <f>IF(G181&lt;=I183,"◯","×")</f>
        <v>◯</v>
      </c>
      <c r="L184" s="42"/>
    </row>
    <row r="185" spans="2:12">
      <c r="B185" s="297" t="s">
        <v>321</v>
      </c>
      <c r="C185" s="298"/>
      <c r="D185" s="298"/>
      <c r="E185" s="241"/>
      <c r="F185" s="241"/>
      <c r="G185" s="241"/>
      <c r="H185" s="241"/>
      <c r="I185" s="241"/>
      <c r="J185" s="241"/>
      <c r="K185" s="242"/>
      <c r="L185" s="42"/>
    </row>
    <row r="186" spans="2:12">
      <c r="B186" s="263"/>
      <c r="C186" s="252"/>
      <c r="D186" s="248"/>
      <c r="E186" s="248"/>
      <c r="F186" s="248"/>
      <c r="G186" s="248"/>
      <c r="H186" s="248"/>
      <c r="I186" s="248"/>
      <c r="J186" s="248"/>
      <c r="K186" s="246"/>
      <c r="L186" s="42"/>
    </row>
    <row r="187" spans="2:12">
      <c r="B187" s="243"/>
      <c r="C187" s="585" t="s">
        <v>221</v>
      </c>
      <c r="D187" s="60" t="s">
        <v>597</v>
      </c>
      <c r="E187" s="88">
        <f>(E26)</f>
        <v>243.21800000000002</v>
      </c>
      <c r="F187" s="118">
        <f>(F10)</f>
        <v>1.82</v>
      </c>
      <c r="G187" s="114" t="s">
        <v>95</v>
      </c>
      <c r="H187" s="125">
        <f>(E187)*(F187)/2</f>
        <v>221.32838000000001</v>
      </c>
      <c r="I187" s="19" t="s">
        <v>31</v>
      </c>
      <c r="J187" s="248"/>
      <c r="K187" s="246"/>
      <c r="L187" s="42"/>
    </row>
    <row r="188" spans="2:12">
      <c r="B188" s="243"/>
      <c r="C188" s="252"/>
      <c r="D188" s="252"/>
      <c r="E188" s="17" t="s">
        <v>18</v>
      </c>
      <c r="F188" s="203" t="s">
        <v>92</v>
      </c>
      <c r="G188" s="248"/>
      <c r="H188" s="248"/>
      <c r="I188" s="248"/>
      <c r="J188" s="248"/>
      <c r="K188" s="246"/>
      <c r="L188" s="42"/>
    </row>
    <row r="189" spans="2:12">
      <c r="B189" s="275" t="s">
        <v>273</v>
      </c>
      <c r="C189" s="65" t="s">
        <v>143</v>
      </c>
      <c r="D189" s="249"/>
      <c r="E189" s="249"/>
      <c r="F189" s="249"/>
      <c r="G189" s="249"/>
      <c r="H189" s="249"/>
      <c r="I189" s="249"/>
      <c r="J189" s="249"/>
      <c r="K189" s="250"/>
    </row>
    <row r="190" spans="2:12">
      <c r="B190" s="243"/>
      <c r="C190" s="988" t="s">
        <v>598</v>
      </c>
      <c r="D190" s="102" t="s">
        <v>158</v>
      </c>
      <c r="E190" s="158">
        <f>(G38)*(D38)/(F10)</f>
        <v>248.43</v>
      </c>
      <c r="F190" s="19" t="s">
        <v>31</v>
      </c>
      <c r="G190" s="988" t="s">
        <v>599</v>
      </c>
      <c r="H190" s="159">
        <f>(G38)*(F10-D38)/F10</f>
        <v>248.43</v>
      </c>
      <c r="I190" s="19" t="s">
        <v>31</v>
      </c>
      <c r="J190" s="248"/>
      <c r="K190" s="246"/>
    </row>
    <row r="191" spans="2:12">
      <c r="B191" s="243"/>
      <c r="C191" s="96"/>
      <c r="D191" s="92"/>
      <c r="E191" s="92"/>
      <c r="F191" s="92"/>
      <c r="G191" s="92"/>
      <c r="H191" s="92"/>
      <c r="I191" s="92"/>
      <c r="J191" s="245"/>
      <c r="K191" s="246"/>
    </row>
    <row r="192" spans="2:12">
      <c r="B192" s="243"/>
      <c r="C192" s="81" t="s">
        <v>166</v>
      </c>
      <c r="D192" s="88">
        <f>H187+E190</f>
        <v>469.75837999999999</v>
      </c>
      <c r="E192" s="19" t="s">
        <v>31</v>
      </c>
      <c r="F192" s="102" t="s">
        <v>267</v>
      </c>
      <c r="G192" s="92"/>
      <c r="H192" s="92"/>
      <c r="I192" s="92"/>
      <c r="J192" s="245"/>
      <c r="K192" s="246"/>
    </row>
    <row r="193" spans="2:11">
      <c r="B193" s="243"/>
      <c r="C193" s="252"/>
      <c r="D193" s="17"/>
      <c r="E193" s="203"/>
      <c r="F193" s="245"/>
      <c r="G193" s="245"/>
      <c r="H193" s="245"/>
      <c r="I193" s="245"/>
      <c r="J193" s="245"/>
      <c r="K193" s="246"/>
    </row>
    <row r="194" spans="2:11">
      <c r="B194" s="243"/>
      <c r="C194" s="252" t="s">
        <v>293</v>
      </c>
      <c r="D194" s="60" t="s">
        <v>600</v>
      </c>
      <c r="E194" s="93" t="s">
        <v>32</v>
      </c>
      <c r="F194" s="125">
        <f>D192</f>
        <v>469.75837999999999</v>
      </c>
      <c r="G194" s="123">
        <f>(D52)</f>
        <v>11025</v>
      </c>
      <c r="H194" s="159">
        <f>1.5*(F194)/(G194)</f>
        <v>6.3912704761904762E-2</v>
      </c>
      <c r="I194" s="81" t="s">
        <v>36</v>
      </c>
      <c r="J194" s="245"/>
      <c r="K194" s="246"/>
    </row>
    <row r="195" spans="2:11">
      <c r="B195" s="243"/>
      <c r="C195" s="244"/>
      <c r="D195" s="81"/>
      <c r="E195" s="19"/>
      <c r="F195" s="19"/>
      <c r="G195" s="114" t="s">
        <v>315</v>
      </c>
      <c r="H195" s="92"/>
      <c r="I195" s="19"/>
      <c r="J195" s="245"/>
      <c r="K195" s="246"/>
    </row>
    <row r="196" spans="2:11">
      <c r="B196" s="243"/>
      <c r="C196" s="244"/>
      <c r="D196" s="986" t="s">
        <v>94</v>
      </c>
      <c r="E196" s="92" t="s">
        <v>89</v>
      </c>
      <c r="F196" s="119">
        <f>C14</f>
        <v>1</v>
      </c>
      <c r="G196" s="92">
        <f>1.1*(data!H17)/3</f>
        <v>0.66</v>
      </c>
      <c r="H196" s="120">
        <f>C14</f>
        <v>1</v>
      </c>
      <c r="I196" s="19">
        <f>(G196)*(H196)</f>
        <v>0.66</v>
      </c>
      <c r="J196" s="252" t="s">
        <v>36</v>
      </c>
      <c r="K196" s="246"/>
    </row>
    <row r="197" spans="2:11" ht="14.25" thickBot="1">
      <c r="B197" s="243"/>
      <c r="C197" s="253"/>
      <c r="D197" s="253"/>
      <c r="E197" s="254"/>
      <c r="F197" s="253" t="s">
        <v>17</v>
      </c>
      <c r="G197" s="254"/>
      <c r="H197" s="62" t="s">
        <v>17</v>
      </c>
      <c r="I197" s="254"/>
      <c r="J197" s="175" t="s">
        <v>322</v>
      </c>
      <c r="K197" s="619" t="str">
        <f>IF(H194&lt;=I196,"◯","×")</f>
        <v>◯</v>
      </c>
    </row>
    <row r="198" spans="2:11">
      <c r="B198" s="243"/>
      <c r="C198" s="59" t="s">
        <v>143</v>
      </c>
      <c r="D198" s="249"/>
      <c r="E198" s="249"/>
      <c r="F198" s="249"/>
      <c r="G198" s="249"/>
      <c r="H198" s="249"/>
      <c r="I198" s="249"/>
      <c r="J198" s="245"/>
      <c r="K198" s="250"/>
    </row>
    <row r="199" spans="2:11">
      <c r="B199" s="243"/>
      <c r="C199" s="988" t="s">
        <v>598</v>
      </c>
      <c r="D199" s="102" t="s">
        <v>158</v>
      </c>
      <c r="E199" s="158">
        <f>(G39)*(D39)/(F10)</f>
        <v>780.89830000000006</v>
      </c>
      <c r="F199" s="19" t="s">
        <v>31</v>
      </c>
      <c r="G199" s="988" t="s">
        <v>599</v>
      </c>
      <c r="H199" s="159">
        <f>(G39)*(F10-D39)/F10</f>
        <v>780.89830000000006</v>
      </c>
      <c r="I199" s="19" t="s">
        <v>31</v>
      </c>
      <c r="J199" s="245"/>
      <c r="K199" s="246"/>
    </row>
    <row r="200" spans="2:11">
      <c r="B200" s="243"/>
      <c r="C200" s="96"/>
      <c r="D200" s="92"/>
      <c r="E200" s="92"/>
      <c r="F200" s="92"/>
      <c r="G200" s="92"/>
      <c r="H200" s="92"/>
      <c r="I200" s="92"/>
      <c r="J200" s="245"/>
      <c r="K200" s="246"/>
    </row>
    <row r="201" spans="2:11">
      <c r="B201" s="243"/>
      <c r="C201" s="81" t="s">
        <v>166</v>
      </c>
      <c r="D201" s="88">
        <f>H187+E199</f>
        <v>1002.2266800000001</v>
      </c>
      <c r="E201" s="19" t="s">
        <v>31</v>
      </c>
      <c r="F201" s="857" t="s">
        <v>228</v>
      </c>
      <c r="G201" s="92"/>
      <c r="H201" s="92"/>
      <c r="I201" s="92"/>
      <c r="J201" s="245"/>
      <c r="K201" s="246"/>
    </row>
    <row r="202" spans="2:11">
      <c r="B202" s="243"/>
      <c r="C202" s="252"/>
      <c r="D202" s="17"/>
      <c r="E202" s="203"/>
      <c r="F202" s="245"/>
      <c r="G202" s="245"/>
      <c r="H202" s="245"/>
      <c r="I202" s="245"/>
      <c r="J202" s="245"/>
      <c r="K202" s="246"/>
    </row>
    <row r="203" spans="2:11">
      <c r="B203" s="243"/>
      <c r="C203" s="252" t="s">
        <v>293</v>
      </c>
      <c r="D203" s="60" t="s">
        <v>601</v>
      </c>
      <c r="E203" s="93" t="s">
        <v>32</v>
      </c>
      <c r="F203" s="125">
        <f>D201</f>
        <v>1002.2266800000001</v>
      </c>
      <c r="G203" s="123">
        <f>(D52)</f>
        <v>11025</v>
      </c>
      <c r="H203" s="159">
        <f>1.5*(F203)/(G203)</f>
        <v>0.13635737142857143</v>
      </c>
      <c r="I203" s="81" t="s">
        <v>36</v>
      </c>
      <c r="J203" s="245"/>
      <c r="K203" s="246"/>
    </row>
    <row r="204" spans="2:11">
      <c r="B204" s="243"/>
      <c r="C204" s="244"/>
      <c r="D204" s="81"/>
      <c r="E204" s="19"/>
      <c r="F204" s="19"/>
      <c r="G204" s="114" t="s">
        <v>315</v>
      </c>
      <c r="H204" s="92"/>
      <c r="I204" s="19"/>
      <c r="J204" s="245"/>
      <c r="K204" s="246"/>
    </row>
    <row r="205" spans="2:11">
      <c r="B205" s="243"/>
      <c r="C205" s="244"/>
      <c r="D205" s="986" t="s">
        <v>94</v>
      </c>
      <c r="E205" s="81" t="s">
        <v>288</v>
      </c>
      <c r="F205" s="119">
        <f>C14</f>
        <v>1</v>
      </c>
      <c r="G205" s="92">
        <f>1.3*1.1*(data!H17)/3</f>
        <v>0.8580000000000001</v>
      </c>
      <c r="H205" s="120">
        <f>C14</f>
        <v>1</v>
      </c>
      <c r="I205" s="91">
        <f>(G205)*(H205)</f>
        <v>0.8580000000000001</v>
      </c>
      <c r="J205" s="252" t="s">
        <v>36</v>
      </c>
      <c r="K205" s="246"/>
    </row>
    <row r="206" spans="2:11" ht="14.25" thickBot="1">
      <c r="B206" s="243"/>
      <c r="C206" s="253"/>
      <c r="D206" s="253"/>
      <c r="E206" s="254"/>
      <c r="F206" s="253" t="s">
        <v>17</v>
      </c>
      <c r="G206" s="254"/>
      <c r="H206" s="62" t="s">
        <v>17</v>
      </c>
      <c r="I206" s="254"/>
      <c r="J206" s="175" t="s">
        <v>322</v>
      </c>
      <c r="K206" s="619" t="str">
        <f>IF(H203&lt;=I205,"◯","×")</f>
        <v>◯</v>
      </c>
    </row>
    <row r="207" spans="2:11">
      <c r="B207" s="243"/>
      <c r="C207" s="59" t="s">
        <v>143</v>
      </c>
      <c r="D207" s="249"/>
      <c r="E207" s="249"/>
      <c r="F207" s="249"/>
      <c r="G207" s="249"/>
      <c r="H207" s="249"/>
      <c r="I207" s="249"/>
      <c r="J207" s="245"/>
      <c r="K207" s="246"/>
    </row>
    <row r="208" spans="2:11">
      <c r="B208" s="243"/>
      <c r="C208" s="988" t="s">
        <v>598</v>
      </c>
      <c r="D208" s="102" t="s">
        <v>158</v>
      </c>
      <c r="E208" s="158">
        <f>(G40)*(D40)/(F10)</f>
        <v>1008.6258000000001</v>
      </c>
      <c r="F208" s="19" t="s">
        <v>31</v>
      </c>
      <c r="G208" s="988" t="s">
        <v>599</v>
      </c>
      <c r="H208" s="159">
        <f>(G40)*(F10-D40)/F10</f>
        <v>1008.6258000000001</v>
      </c>
      <c r="I208" s="19" t="s">
        <v>31</v>
      </c>
      <c r="J208" s="245"/>
      <c r="K208" s="246"/>
    </row>
    <row r="209" spans="2:11">
      <c r="B209" s="243"/>
      <c r="C209" s="96"/>
      <c r="D209" s="92"/>
      <c r="E209" s="92"/>
      <c r="F209" s="92"/>
      <c r="G209" s="92"/>
      <c r="H209" s="92"/>
      <c r="I209" s="92"/>
      <c r="J209" s="245"/>
      <c r="K209" s="246"/>
    </row>
    <row r="210" spans="2:11">
      <c r="B210" s="243"/>
      <c r="C210" s="81" t="s">
        <v>166</v>
      </c>
      <c r="D210" s="88">
        <f>H187+E208</f>
        <v>1229.9541800000002</v>
      </c>
      <c r="E210" s="19" t="s">
        <v>31</v>
      </c>
      <c r="F210" s="857" t="s">
        <v>229</v>
      </c>
      <c r="G210" s="92"/>
      <c r="H210" s="92"/>
      <c r="I210" s="92"/>
      <c r="J210" s="245"/>
      <c r="K210" s="246"/>
    </row>
    <row r="211" spans="2:11">
      <c r="B211" s="243"/>
      <c r="C211" s="252"/>
      <c r="D211" s="17"/>
      <c r="E211" s="203"/>
      <c r="F211" s="245"/>
      <c r="G211" s="245"/>
      <c r="H211" s="245"/>
      <c r="I211" s="245"/>
      <c r="J211" s="245"/>
      <c r="K211" s="246"/>
    </row>
    <row r="212" spans="2:11">
      <c r="B212" s="243"/>
      <c r="C212" s="252" t="s">
        <v>293</v>
      </c>
      <c r="D212" s="60" t="s">
        <v>602</v>
      </c>
      <c r="E212" s="93" t="s">
        <v>32</v>
      </c>
      <c r="F212" s="125">
        <f>D210</f>
        <v>1229.9541800000002</v>
      </c>
      <c r="G212" s="123">
        <f>(D52)</f>
        <v>11025</v>
      </c>
      <c r="H212" s="159">
        <f>1.5*(F212)/(G212)</f>
        <v>0.1673407047619048</v>
      </c>
      <c r="I212" s="81" t="s">
        <v>36</v>
      </c>
      <c r="J212" s="245"/>
      <c r="K212" s="246"/>
    </row>
    <row r="213" spans="2:11">
      <c r="B213" s="243"/>
      <c r="C213" s="244"/>
      <c r="D213" s="81"/>
      <c r="E213" s="19"/>
      <c r="F213" s="19"/>
      <c r="G213" s="114" t="s">
        <v>315</v>
      </c>
      <c r="H213" s="92"/>
      <c r="I213" s="19"/>
      <c r="J213" s="245"/>
      <c r="K213" s="246"/>
    </row>
    <row r="214" spans="2:11">
      <c r="B214" s="243"/>
      <c r="C214" s="244"/>
      <c r="D214" s="986" t="s">
        <v>94</v>
      </c>
      <c r="E214" s="81" t="s">
        <v>289</v>
      </c>
      <c r="F214" s="119">
        <f>C14</f>
        <v>1</v>
      </c>
      <c r="G214" s="92">
        <f>0.8*2*(data!H17)/3</f>
        <v>0.96000000000000008</v>
      </c>
      <c r="H214" s="120">
        <f>C14</f>
        <v>1</v>
      </c>
      <c r="I214" s="91">
        <f>(G214)*(H214)</f>
        <v>0.96000000000000008</v>
      </c>
      <c r="J214" s="252" t="s">
        <v>36</v>
      </c>
      <c r="K214" s="246"/>
    </row>
    <row r="215" spans="2:11" ht="14.25" thickBot="1">
      <c r="B215" s="243"/>
      <c r="C215" s="253"/>
      <c r="D215" s="253"/>
      <c r="E215" s="254"/>
      <c r="F215" s="253" t="s">
        <v>17</v>
      </c>
      <c r="G215" s="254"/>
      <c r="H215" s="62" t="s">
        <v>17</v>
      </c>
      <c r="I215" s="254"/>
      <c r="J215" s="175" t="s">
        <v>322</v>
      </c>
      <c r="K215" s="619" t="str">
        <f>IF(H212&lt;=I214,"◯","×")</f>
        <v>◯</v>
      </c>
    </row>
    <row r="216" spans="2:11">
      <c r="B216" s="57" t="s">
        <v>279</v>
      </c>
      <c r="C216" s="65" t="s">
        <v>143</v>
      </c>
      <c r="D216" s="249"/>
      <c r="E216" s="249"/>
      <c r="F216" s="249"/>
      <c r="G216" s="249"/>
      <c r="H216" s="249"/>
      <c r="I216" s="249"/>
      <c r="J216" s="249"/>
      <c r="K216" s="250"/>
    </row>
    <row r="217" spans="2:11">
      <c r="B217" s="243"/>
      <c r="C217" s="988" t="s">
        <v>544</v>
      </c>
      <c r="D217" s="102" t="s">
        <v>158</v>
      </c>
      <c r="E217" s="203">
        <f>(G43)*(D43)/(F10)</f>
        <v>248.43</v>
      </c>
      <c r="F217" s="19" t="s">
        <v>31</v>
      </c>
      <c r="G217" s="988" t="s">
        <v>545</v>
      </c>
      <c r="H217" s="80">
        <f>(G43)*(F10-D43)/F10</f>
        <v>248.43</v>
      </c>
      <c r="I217" s="19" t="s">
        <v>31</v>
      </c>
      <c r="J217" s="92"/>
      <c r="K217" s="89"/>
    </row>
    <row r="218" spans="2:11">
      <c r="B218" s="243"/>
      <c r="C218" s="988" t="s">
        <v>546</v>
      </c>
      <c r="D218" s="102" t="s">
        <v>159</v>
      </c>
      <c r="E218" s="203">
        <f>(G48)*(D48)/(F10)</f>
        <v>496.86</v>
      </c>
      <c r="F218" s="19" t="s">
        <v>31</v>
      </c>
      <c r="G218" s="988" t="s">
        <v>547</v>
      </c>
      <c r="H218" s="80">
        <f>IF(E218=0,0,(G48)*(F10-D48)/F10)</f>
        <v>0</v>
      </c>
      <c r="I218" s="19" t="s">
        <v>31</v>
      </c>
      <c r="J218" s="90"/>
      <c r="K218" s="89"/>
    </row>
    <row r="219" spans="2:11">
      <c r="B219" s="243"/>
      <c r="C219" s="81"/>
      <c r="D219" s="90" t="s">
        <v>85</v>
      </c>
      <c r="E219" s="203">
        <f>SUM(E217:E218)</f>
        <v>745.29</v>
      </c>
      <c r="F219" s="19" t="s">
        <v>31</v>
      </c>
      <c r="G219" s="90" t="s">
        <v>85</v>
      </c>
      <c r="H219" s="203">
        <f>SUM(H217:H218)</f>
        <v>248.43</v>
      </c>
      <c r="I219" s="19" t="s">
        <v>31</v>
      </c>
      <c r="J219" s="1018">
        <f>MAX(E219,H219)</f>
        <v>745.29</v>
      </c>
      <c r="K219" s="89"/>
    </row>
    <row r="220" spans="2:11">
      <c r="B220" s="243"/>
      <c r="C220" s="81" t="s">
        <v>166</v>
      </c>
      <c r="D220" s="88">
        <f>H187+J219</f>
        <v>966.61838</v>
      </c>
      <c r="E220" s="19" t="s">
        <v>31</v>
      </c>
      <c r="F220" s="102" t="s">
        <v>267</v>
      </c>
      <c r="G220" s="90"/>
      <c r="H220" s="203"/>
      <c r="I220" s="19"/>
      <c r="J220" s="90"/>
      <c r="K220" s="89"/>
    </row>
    <row r="221" spans="2:11">
      <c r="B221" s="243"/>
      <c r="C221" s="252"/>
      <c r="D221" s="17"/>
      <c r="E221" s="203"/>
      <c r="F221" s="248"/>
      <c r="G221" s="248"/>
      <c r="H221" s="248"/>
      <c r="I221" s="248"/>
      <c r="J221" s="248"/>
      <c r="K221" s="246"/>
    </row>
    <row r="222" spans="2:11">
      <c r="B222" s="243"/>
      <c r="C222" s="252" t="s">
        <v>293</v>
      </c>
      <c r="D222" s="60" t="s">
        <v>600</v>
      </c>
      <c r="E222" s="93" t="s">
        <v>32</v>
      </c>
      <c r="F222" s="92">
        <f>(H187)+(J219)</f>
        <v>966.61838</v>
      </c>
      <c r="G222" s="123">
        <f>(D52)</f>
        <v>11025</v>
      </c>
      <c r="H222" s="159">
        <f>1.5*(F222)/(G222)</f>
        <v>0.13151270476190477</v>
      </c>
      <c r="I222" s="81" t="s">
        <v>36</v>
      </c>
      <c r="J222" s="248"/>
      <c r="K222" s="246"/>
    </row>
    <row r="223" spans="2:11">
      <c r="B223" s="243"/>
      <c r="C223" s="244"/>
      <c r="D223" s="81"/>
      <c r="E223" s="19"/>
      <c r="F223" s="19"/>
      <c r="G223" s="114" t="s">
        <v>315</v>
      </c>
      <c r="H223" s="92"/>
      <c r="I223" s="19"/>
      <c r="J223" s="248"/>
      <c r="K223" s="246"/>
    </row>
    <row r="224" spans="2:11">
      <c r="B224" s="243"/>
      <c r="C224" s="244"/>
      <c r="D224" s="986" t="s">
        <v>94</v>
      </c>
      <c r="E224" s="92" t="s">
        <v>89</v>
      </c>
      <c r="F224" s="119">
        <f>C14</f>
        <v>1</v>
      </c>
      <c r="G224" s="92">
        <f>1.1*(data!H17)/3</f>
        <v>0.66</v>
      </c>
      <c r="H224" s="120">
        <f>C14</f>
        <v>1</v>
      </c>
      <c r="I224" s="19">
        <f>(G224)*(C14)</f>
        <v>0.66</v>
      </c>
      <c r="J224" s="252" t="s">
        <v>36</v>
      </c>
      <c r="K224" s="246"/>
    </row>
    <row r="225" spans="2:11" ht="14.25" thickBot="1">
      <c r="B225" s="243"/>
      <c r="C225" s="264"/>
      <c r="D225" s="253"/>
      <c r="E225" s="254"/>
      <c r="F225" s="253" t="s">
        <v>17</v>
      </c>
      <c r="G225" s="254"/>
      <c r="H225" s="62" t="s">
        <v>17</v>
      </c>
      <c r="I225" s="254"/>
      <c r="J225" s="175" t="s">
        <v>322</v>
      </c>
      <c r="K225" s="619" t="str">
        <f>IF(H222&lt;=I224,"◯","×")</f>
        <v>◯</v>
      </c>
    </row>
    <row r="226" spans="2:11">
      <c r="B226" s="243"/>
      <c r="C226" s="65" t="s">
        <v>143</v>
      </c>
      <c r="D226" s="249"/>
      <c r="E226" s="249"/>
      <c r="F226" s="249"/>
      <c r="G226" s="249"/>
      <c r="H226" s="249"/>
      <c r="I226" s="249"/>
      <c r="J226" s="249"/>
      <c r="K226" s="250"/>
    </row>
    <row r="227" spans="2:11">
      <c r="B227" s="243"/>
      <c r="C227" s="988" t="s">
        <v>544</v>
      </c>
      <c r="D227" s="102" t="s">
        <v>158</v>
      </c>
      <c r="E227" s="158">
        <f>(G44)*(D44)/(F10)</f>
        <v>780.89830000000006</v>
      </c>
      <c r="F227" s="19" t="s">
        <v>31</v>
      </c>
      <c r="G227" s="988" t="s">
        <v>545</v>
      </c>
      <c r="H227" s="91">
        <f>(G44)*(F10-D44)/F10</f>
        <v>780.89830000000006</v>
      </c>
      <c r="I227" s="19" t="s">
        <v>31</v>
      </c>
      <c r="J227" s="92"/>
      <c r="K227" s="246"/>
    </row>
    <row r="228" spans="2:11">
      <c r="B228" s="243"/>
      <c r="C228" s="988" t="s">
        <v>546</v>
      </c>
      <c r="D228" s="102" t="s">
        <v>159</v>
      </c>
      <c r="E228" s="158">
        <f>(G49)*(D49)/(F10)</f>
        <v>1561.7966000000001</v>
      </c>
      <c r="F228" s="19" t="s">
        <v>31</v>
      </c>
      <c r="G228" s="988" t="s">
        <v>547</v>
      </c>
      <c r="H228" s="91">
        <f>IF(E228=0,0,(G49)*(F10-D49)/F10)</f>
        <v>0</v>
      </c>
      <c r="I228" s="19" t="s">
        <v>31</v>
      </c>
      <c r="J228" s="90"/>
      <c r="K228" s="246"/>
    </row>
    <row r="229" spans="2:11">
      <c r="B229" s="243"/>
      <c r="C229" s="81"/>
      <c r="D229" s="90" t="s">
        <v>85</v>
      </c>
      <c r="E229" s="158">
        <f>SUM(E227:E228)</f>
        <v>2342.6949000000004</v>
      </c>
      <c r="F229" s="19" t="s">
        <v>31</v>
      </c>
      <c r="G229" s="90" t="s">
        <v>85</v>
      </c>
      <c r="H229" s="158">
        <f>SUM(H227:H228)</f>
        <v>780.89830000000006</v>
      </c>
      <c r="I229" s="19" t="s">
        <v>31</v>
      </c>
      <c r="J229" s="1019">
        <f>MAX(E229,H229)</f>
        <v>2342.6949000000004</v>
      </c>
      <c r="K229" s="34"/>
    </row>
    <row r="230" spans="2:11">
      <c r="B230" s="243"/>
      <c r="C230" s="81" t="s">
        <v>166</v>
      </c>
      <c r="D230" s="88">
        <f>H187+J229</f>
        <v>2564.0232800000003</v>
      </c>
      <c r="E230" s="19" t="s">
        <v>31</v>
      </c>
      <c r="F230" s="857" t="s">
        <v>228</v>
      </c>
      <c r="G230" s="90"/>
      <c r="H230" s="203"/>
      <c r="I230" s="19"/>
      <c r="J230" s="90"/>
      <c r="K230" s="246"/>
    </row>
    <row r="231" spans="2:11">
      <c r="B231" s="243"/>
      <c r="C231" s="252"/>
      <c r="D231" s="17"/>
      <c r="E231" s="203"/>
      <c r="F231" s="248"/>
      <c r="G231" s="248"/>
      <c r="H231" s="248"/>
      <c r="I231" s="248"/>
      <c r="J231" s="248"/>
      <c r="K231" s="246"/>
    </row>
    <row r="232" spans="2:11">
      <c r="B232" s="243"/>
      <c r="C232" s="252" t="s">
        <v>293</v>
      </c>
      <c r="D232" s="60" t="s">
        <v>601</v>
      </c>
      <c r="E232" s="93" t="s">
        <v>32</v>
      </c>
      <c r="F232" s="125">
        <f>(H187)+(J229)</f>
        <v>2564.0232800000003</v>
      </c>
      <c r="G232" s="123">
        <f>(D52)</f>
        <v>11025</v>
      </c>
      <c r="H232" s="159">
        <f>1.5*(F232)/(G232)</f>
        <v>0.34884670476190482</v>
      </c>
      <c r="I232" s="81" t="s">
        <v>36</v>
      </c>
      <c r="J232" s="248"/>
      <c r="K232" s="246"/>
    </row>
    <row r="233" spans="2:11">
      <c r="B233" s="243"/>
      <c r="C233" s="244"/>
      <c r="D233" s="81"/>
      <c r="E233" s="19"/>
      <c r="F233" s="19"/>
      <c r="G233" s="114" t="s">
        <v>315</v>
      </c>
      <c r="H233" s="92"/>
      <c r="I233" s="19"/>
      <c r="J233" s="248"/>
      <c r="K233" s="246"/>
    </row>
    <row r="234" spans="2:11">
      <c r="B234" s="243"/>
      <c r="C234" s="244"/>
      <c r="D234" s="986" t="s">
        <v>94</v>
      </c>
      <c r="E234" s="81" t="s">
        <v>288</v>
      </c>
      <c r="F234" s="119">
        <f>C14</f>
        <v>1</v>
      </c>
      <c r="G234" s="92">
        <f>1.3*1.1*(data!H17)/3</f>
        <v>0.8580000000000001</v>
      </c>
      <c r="H234" s="120">
        <f>C14</f>
        <v>1</v>
      </c>
      <c r="I234" s="19">
        <f>(G234)*(C14)</f>
        <v>0.8580000000000001</v>
      </c>
      <c r="J234" s="252" t="s">
        <v>36</v>
      </c>
      <c r="K234" s="246"/>
    </row>
    <row r="235" spans="2:11" ht="14.25" thickBot="1">
      <c r="B235" s="243"/>
      <c r="C235" s="253"/>
      <c r="D235" s="253"/>
      <c r="E235" s="254"/>
      <c r="F235" s="253" t="s">
        <v>17</v>
      </c>
      <c r="G235" s="254"/>
      <c r="H235" s="62" t="s">
        <v>17</v>
      </c>
      <c r="I235" s="254"/>
      <c r="J235" s="175" t="s">
        <v>322</v>
      </c>
      <c r="K235" s="619" t="str">
        <f>IF(H232&lt;=I234,"◯","×")</f>
        <v>◯</v>
      </c>
    </row>
    <row r="236" spans="2:11">
      <c r="B236" s="243"/>
      <c r="C236" s="59" t="s">
        <v>143</v>
      </c>
      <c r="D236" s="249"/>
      <c r="E236" s="249"/>
      <c r="F236" s="249"/>
      <c r="G236" s="249"/>
      <c r="H236" s="249"/>
      <c r="I236" s="249"/>
      <c r="J236" s="249"/>
      <c r="K236" s="250"/>
    </row>
    <row r="237" spans="2:11">
      <c r="B237" s="243"/>
      <c r="C237" s="988" t="s">
        <v>544</v>
      </c>
      <c r="D237" s="102" t="s">
        <v>158</v>
      </c>
      <c r="E237" s="158">
        <f>(G45)*(D45)/(F10)</f>
        <v>1008.6258000000001</v>
      </c>
      <c r="F237" s="19" t="s">
        <v>31</v>
      </c>
      <c r="G237" s="988" t="s">
        <v>545</v>
      </c>
      <c r="H237" s="91">
        <f>(G45)*(F10-D45)/F10</f>
        <v>1008.6258000000001</v>
      </c>
      <c r="I237" s="19" t="s">
        <v>31</v>
      </c>
      <c r="J237" s="92"/>
      <c r="K237" s="89"/>
    </row>
    <row r="238" spans="2:11">
      <c r="B238" s="243"/>
      <c r="C238" s="988" t="s">
        <v>546</v>
      </c>
      <c r="D238" s="102" t="s">
        <v>159</v>
      </c>
      <c r="E238" s="158">
        <f>(G50)*(D50)/(F10)</f>
        <v>2017.2516000000003</v>
      </c>
      <c r="F238" s="19" t="s">
        <v>31</v>
      </c>
      <c r="G238" s="988" t="s">
        <v>547</v>
      </c>
      <c r="H238" s="91">
        <f>IF(E238=0,0,(G50)*(F10-D50)/F10)</f>
        <v>0</v>
      </c>
      <c r="I238" s="19" t="s">
        <v>31</v>
      </c>
      <c r="J238" s="90"/>
      <c r="K238" s="89"/>
    </row>
    <row r="239" spans="2:11">
      <c r="B239" s="243"/>
      <c r="C239" s="81"/>
      <c r="D239" s="90" t="s">
        <v>85</v>
      </c>
      <c r="E239" s="158">
        <f>SUM(E237:E238)</f>
        <v>3025.8774000000003</v>
      </c>
      <c r="F239" s="19" t="s">
        <v>31</v>
      </c>
      <c r="G239" s="90" t="s">
        <v>85</v>
      </c>
      <c r="H239" s="158">
        <f>SUM(H237:H238)</f>
        <v>1008.6258000000001</v>
      </c>
      <c r="I239" s="19" t="s">
        <v>31</v>
      </c>
      <c r="J239" s="1020">
        <f>MAX(E239,H239)</f>
        <v>3025.8774000000003</v>
      </c>
      <c r="K239" s="89"/>
    </row>
    <row r="240" spans="2:11">
      <c r="B240" s="243"/>
      <c r="C240" s="81" t="s">
        <v>166</v>
      </c>
      <c r="D240" s="88">
        <f>H187+J239</f>
        <v>3247.2057800000002</v>
      </c>
      <c r="E240" s="19" t="s">
        <v>31</v>
      </c>
      <c r="F240" s="857" t="s">
        <v>229</v>
      </c>
      <c r="G240" s="90"/>
      <c r="H240" s="203"/>
      <c r="I240" s="19"/>
      <c r="J240" s="90"/>
      <c r="K240" s="89"/>
    </row>
    <row r="241" spans="2:11">
      <c r="B241" s="243"/>
      <c r="C241" s="252"/>
      <c r="D241" s="17"/>
      <c r="E241" s="203"/>
      <c r="F241" s="248"/>
      <c r="G241" s="248"/>
      <c r="H241" s="248"/>
      <c r="I241" s="248"/>
      <c r="J241" s="248"/>
      <c r="K241" s="246"/>
    </row>
    <row r="242" spans="2:11">
      <c r="B242" s="243"/>
      <c r="C242" s="252" t="s">
        <v>293</v>
      </c>
      <c r="D242" s="60" t="s">
        <v>603</v>
      </c>
      <c r="E242" s="93" t="s">
        <v>32</v>
      </c>
      <c r="F242" s="125">
        <f>(H187)+(J239)</f>
        <v>3247.2057800000002</v>
      </c>
      <c r="G242" s="123">
        <f>(D52)</f>
        <v>11025</v>
      </c>
      <c r="H242" s="159">
        <f>1.5*(F242)/(G242)</f>
        <v>0.4417967047619048</v>
      </c>
      <c r="I242" s="81" t="s">
        <v>36</v>
      </c>
      <c r="J242" s="248"/>
      <c r="K242" s="246"/>
    </row>
    <row r="243" spans="2:11">
      <c r="B243" s="243"/>
      <c r="C243" s="244"/>
      <c r="D243" s="81"/>
      <c r="E243" s="19"/>
      <c r="F243" s="19"/>
      <c r="G243" s="114" t="s">
        <v>315</v>
      </c>
      <c r="H243" s="92"/>
      <c r="I243" s="19"/>
      <c r="J243" s="248"/>
      <c r="K243" s="246"/>
    </row>
    <row r="244" spans="2:11">
      <c r="B244" s="243"/>
      <c r="C244" s="244"/>
      <c r="D244" s="986" t="s">
        <v>94</v>
      </c>
      <c r="E244" s="81" t="s">
        <v>289</v>
      </c>
      <c r="F244" s="119">
        <f>C14</f>
        <v>1</v>
      </c>
      <c r="G244" s="92">
        <f>0.8*2*(data!H17)/3</f>
        <v>0.96000000000000008</v>
      </c>
      <c r="H244" s="120">
        <f>C14</f>
        <v>1</v>
      </c>
      <c r="I244" s="19">
        <f>(G244)*(C14)</f>
        <v>0.96000000000000008</v>
      </c>
      <c r="J244" s="252" t="s">
        <v>36</v>
      </c>
      <c r="K244" s="246"/>
    </row>
    <row r="245" spans="2:11" ht="14.25" thickBot="1">
      <c r="B245" s="261"/>
      <c r="C245" s="253"/>
      <c r="D245" s="253"/>
      <c r="E245" s="254"/>
      <c r="F245" s="253" t="s">
        <v>17</v>
      </c>
      <c r="G245" s="254"/>
      <c r="H245" s="62" t="s">
        <v>17</v>
      </c>
      <c r="I245" s="254"/>
      <c r="J245" s="175" t="s">
        <v>322</v>
      </c>
      <c r="K245" s="619" t="str">
        <f>IF(H242&lt;=I244,"◯","×")</f>
        <v>◯</v>
      </c>
    </row>
    <row r="246" spans="2:11">
      <c r="B246" s="63" t="s">
        <v>269</v>
      </c>
      <c r="C246" s="59"/>
      <c r="D246" s="245"/>
      <c r="E246" s="245"/>
      <c r="F246" s="245"/>
      <c r="G246" s="245"/>
      <c r="H246" s="245"/>
      <c r="I246" s="245"/>
      <c r="J246" s="245"/>
      <c r="K246" s="250"/>
    </row>
    <row r="247" spans="2:11">
      <c r="B247" s="243"/>
      <c r="C247" s="244" t="s">
        <v>290</v>
      </c>
      <c r="D247" s="220" t="s">
        <v>294</v>
      </c>
      <c r="E247" s="88">
        <f>(E28)</f>
        <v>818.99999999999989</v>
      </c>
      <c r="F247" s="285">
        <f>(F10)</f>
        <v>1.82</v>
      </c>
      <c r="G247" s="19" t="s">
        <v>295</v>
      </c>
      <c r="H247" s="125">
        <f>((E247)*(F247)/2)</f>
        <v>745.29</v>
      </c>
      <c r="I247" s="19" t="s">
        <v>31</v>
      </c>
      <c r="J247" s="245"/>
      <c r="K247" s="246"/>
    </row>
    <row r="248" spans="2:11">
      <c r="B248" s="243"/>
      <c r="C248" s="244"/>
      <c r="D248" s="92"/>
      <c r="E248" s="17" t="s">
        <v>18</v>
      </c>
      <c r="F248" s="890" t="s">
        <v>92</v>
      </c>
      <c r="G248" s="19"/>
      <c r="H248" s="19"/>
      <c r="I248" s="19"/>
      <c r="J248" s="245"/>
      <c r="K248" s="246"/>
    </row>
    <row r="249" spans="2:11">
      <c r="B249" s="243"/>
      <c r="C249" s="244"/>
      <c r="D249" s="92"/>
      <c r="E249" s="92"/>
      <c r="F249" s="92"/>
      <c r="G249" s="92"/>
      <c r="H249" s="92"/>
      <c r="I249" s="92"/>
      <c r="J249" s="245"/>
      <c r="K249" s="246"/>
    </row>
    <row r="250" spans="2:11">
      <c r="B250" s="243"/>
      <c r="C250" s="252" t="s">
        <v>166</v>
      </c>
      <c r="D250" s="88">
        <f>H187+H247</f>
        <v>966.61838</v>
      </c>
      <c r="E250" s="19" t="s">
        <v>31</v>
      </c>
      <c r="F250" s="102" t="s">
        <v>267</v>
      </c>
      <c r="G250" s="92"/>
      <c r="H250" s="92"/>
      <c r="I250" s="92"/>
      <c r="J250" s="245"/>
      <c r="K250" s="246"/>
    </row>
    <row r="251" spans="2:11">
      <c r="B251" s="243"/>
      <c r="C251" s="252"/>
      <c r="D251" s="17"/>
      <c r="E251" s="203"/>
      <c r="F251" s="245"/>
      <c r="G251" s="245"/>
      <c r="H251" s="245"/>
      <c r="I251" s="245"/>
      <c r="J251" s="245"/>
      <c r="K251" s="246"/>
    </row>
    <row r="252" spans="2:11">
      <c r="B252" s="243"/>
      <c r="C252" s="252" t="s">
        <v>293</v>
      </c>
      <c r="D252" s="60" t="s">
        <v>600</v>
      </c>
      <c r="E252" s="93" t="s">
        <v>32</v>
      </c>
      <c r="F252" s="125">
        <f>D250</f>
        <v>966.61838</v>
      </c>
      <c r="G252" s="123">
        <f>(D52)</f>
        <v>11025</v>
      </c>
      <c r="H252" s="159">
        <f>1.5*(F252)/(G252)</f>
        <v>0.13151270476190477</v>
      </c>
      <c r="I252" s="81" t="s">
        <v>36</v>
      </c>
      <c r="J252" s="245"/>
      <c r="K252" s="246"/>
    </row>
    <row r="253" spans="2:11">
      <c r="B253" s="243"/>
      <c r="C253" s="244"/>
      <c r="D253" s="81"/>
      <c r="E253" s="19"/>
      <c r="F253" s="19"/>
      <c r="G253" s="114" t="s">
        <v>315</v>
      </c>
      <c r="H253" s="92"/>
      <c r="I253" s="19"/>
      <c r="J253" s="245"/>
      <c r="K253" s="246"/>
    </row>
    <row r="254" spans="2:11">
      <c r="B254" s="243"/>
      <c r="C254" s="244"/>
      <c r="D254" s="986" t="s">
        <v>94</v>
      </c>
      <c r="E254" s="92" t="s">
        <v>89</v>
      </c>
      <c r="F254" s="119">
        <f>C14</f>
        <v>1</v>
      </c>
      <c r="G254" s="92">
        <f>1.1*(data!H17)/3</f>
        <v>0.66</v>
      </c>
      <c r="H254" s="120">
        <f>C14</f>
        <v>1</v>
      </c>
      <c r="I254" s="19">
        <f>(G254)*(H254)</f>
        <v>0.66</v>
      </c>
      <c r="J254" s="252" t="s">
        <v>36</v>
      </c>
      <c r="K254" s="246"/>
    </row>
    <row r="255" spans="2:11" ht="14.25" thickBot="1">
      <c r="B255" s="243"/>
      <c r="C255" s="253"/>
      <c r="D255" s="253"/>
      <c r="E255" s="254"/>
      <c r="F255" s="253" t="s">
        <v>17</v>
      </c>
      <c r="G255" s="254"/>
      <c r="H255" s="62" t="s">
        <v>17</v>
      </c>
      <c r="I255" s="254"/>
      <c r="J255" s="175" t="s">
        <v>322</v>
      </c>
      <c r="K255" s="619" t="str">
        <f>IF(H252&lt;=I254,"◯","×")</f>
        <v>◯</v>
      </c>
    </row>
    <row r="256" spans="2:11">
      <c r="B256" s="243"/>
      <c r="C256" s="59"/>
      <c r="D256" s="245"/>
      <c r="E256" s="245"/>
      <c r="F256" s="245"/>
      <c r="G256" s="245"/>
      <c r="H256" s="245"/>
      <c r="I256" s="245"/>
      <c r="J256" s="245"/>
      <c r="K256" s="250"/>
    </row>
    <row r="257" spans="2:11">
      <c r="B257" s="243"/>
      <c r="C257" s="244" t="s">
        <v>290</v>
      </c>
      <c r="D257" s="220" t="s">
        <v>294</v>
      </c>
      <c r="E257" s="88">
        <f>(E29)</f>
        <v>2574.3900000000003</v>
      </c>
      <c r="F257" s="285">
        <f>(F10)</f>
        <v>1.82</v>
      </c>
      <c r="G257" s="19" t="s">
        <v>295</v>
      </c>
      <c r="H257" s="125">
        <f>((E257)*(F257)/2)</f>
        <v>2342.6949000000004</v>
      </c>
      <c r="I257" s="19" t="s">
        <v>31</v>
      </c>
      <c r="J257" s="245"/>
      <c r="K257" s="246"/>
    </row>
    <row r="258" spans="2:11">
      <c r="B258" s="243"/>
      <c r="C258" s="244"/>
      <c r="D258" s="92"/>
      <c r="E258" s="90" t="s">
        <v>18</v>
      </c>
      <c r="F258" s="203" t="s">
        <v>92</v>
      </c>
      <c r="G258" s="19"/>
      <c r="H258" s="19"/>
      <c r="I258" s="19"/>
      <c r="J258" s="245"/>
      <c r="K258" s="246"/>
    </row>
    <row r="259" spans="2:11">
      <c r="B259" s="243"/>
      <c r="C259" s="244"/>
      <c r="D259" s="92"/>
      <c r="E259" s="92"/>
      <c r="F259" s="92"/>
      <c r="G259" s="92"/>
      <c r="H259" s="92"/>
      <c r="I259" s="92"/>
      <c r="J259" s="245"/>
      <c r="K259" s="246"/>
    </row>
    <row r="260" spans="2:11">
      <c r="B260" s="243"/>
      <c r="C260" s="252" t="s">
        <v>166</v>
      </c>
      <c r="D260" s="88">
        <f>H187+H257</f>
        <v>2564.0232800000003</v>
      </c>
      <c r="E260" s="19" t="s">
        <v>31</v>
      </c>
      <c r="F260" s="857" t="s">
        <v>228</v>
      </c>
      <c r="G260" s="92"/>
      <c r="H260" s="92"/>
      <c r="I260" s="92"/>
      <c r="J260" s="245"/>
      <c r="K260" s="246"/>
    </row>
    <row r="261" spans="2:11">
      <c r="B261" s="243"/>
      <c r="C261" s="252"/>
      <c r="D261" s="17"/>
      <c r="E261" s="203"/>
      <c r="F261" s="245"/>
      <c r="G261" s="245"/>
      <c r="H261" s="245"/>
      <c r="I261" s="245"/>
      <c r="J261" s="245"/>
      <c r="K261" s="246"/>
    </row>
    <row r="262" spans="2:11">
      <c r="B262" s="243"/>
      <c r="C262" s="252" t="s">
        <v>293</v>
      </c>
      <c r="D262" s="60" t="s">
        <v>601</v>
      </c>
      <c r="E262" s="93" t="s">
        <v>32</v>
      </c>
      <c r="F262" s="125">
        <f>D260</f>
        <v>2564.0232800000003</v>
      </c>
      <c r="G262" s="123">
        <f>(D52)</f>
        <v>11025</v>
      </c>
      <c r="H262" s="159">
        <f>1.5*(F262)/(G262)</f>
        <v>0.34884670476190482</v>
      </c>
      <c r="I262" s="81" t="s">
        <v>36</v>
      </c>
      <c r="J262" s="245"/>
      <c r="K262" s="246"/>
    </row>
    <row r="263" spans="2:11">
      <c r="B263" s="243"/>
      <c r="C263" s="244"/>
      <c r="D263" s="81"/>
      <c r="E263" s="19"/>
      <c r="F263" s="19"/>
      <c r="G263" s="114" t="s">
        <v>315</v>
      </c>
      <c r="H263" s="92"/>
      <c r="I263" s="19"/>
      <c r="J263" s="245"/>
      <c r="K263" s="246"/>
    </row>
    <row r="264" spans="2:11">
      <c r="B264" s="243"/>
      <c r="C264" s="244"/>
      <c r="D264" s="986" t="s">
        <v>94</v>
      </c>
      <c r="E264" s="81" t="s">
        <v>288</v>
      </c>
      <c r="F264" s="119">
        <f>C14</f>
        <v>1</v>
      </c>
      <c r="G264" s="92">
        <f>1.3*1.1*(data!H17)/3</f>
        <v>0.8580000000000001</v>
      </c>
      <c r="H264" s="120">
        <f>C14</f>
        <v>1</v>
      </c>
      <c r="I264" s="19">
        <f>(G264)*(H264)</f>
        <v>0.8580000000000001</v>
      </c>
      <c r="J264" s="252" t="s">
        <v>36</v>
      </c>
      <c r="K264" s="246"/>
    </row>
    <row r="265" spans="2:11" ht="14.25" thickBot="1">
      <c r="B265" s="243"/>
      <c r="C265" s="253"/>
      <c r="D265" s="253"/>
      <c r="E265" s="254"/>
      <c r="F265" s="253" t="s">
        <v>17</v>
      </c>
      <c r="G265" s="254"/>
      <c r="H265" s="62" t="s">
        <v>17</v>
      </c>
      <c r="I265" s="254"/>
      <c r="J265" s="175" t="s">
        <v>322</v>
      </c>
      <c r="K265" s="619" t="str">
        <f>IF(H262&lt;=I264,"◯","×")</f>
        <v>◯</v>
      </c>
    </row>
    <row r="266" spans="2:11">
      <c r="B266" s="243"/>
      <c r="C266" s="59"/>
      <c r="D266" s="245"/>
      <c r="E266" s="245"/>
      <c r="F266" s="245"/>
      <c r="G266" s="245"/>
      <c r="H266" s="245"/>
      <c r="I266" s="245"/>
      <c r="J266" s="245"/>
      <c r="K266" s="250"/>
    </row>
    <row r="267" spans="2:11">
      <c r="B267" s="243"/>
      <c r="C267" s="244" t="s">
        <v>290</v>
      </c>
      <c r="D267" s="220" t="s">
        <v>294</v>
      </c>
      <c r="E267" s="88">
        <f>(E30)</f>
        <v>3325.1400000000003</v>
      </c>
      <c r="F267" s="285">
        <f>(F10)</f>
        <v>1.82</v>
      </c>
      <c r="G267" s="19" t="s">
        <v>295</v>
      </c>
      <c r="H267" s="125">
        <f>((E267)*(F267)/2)</f>
        <v>3025.8774000000003</v>
      </c>
      <c r="I267" s="19" t="s">
        <v>31</v>
      </c>
      <c r="J267" s="245"/>
      <c r="K267" s="246"/>
    </row>
    <row r="268" spans="2:11">
      <c r="B268" s="243"/>
      <c r="C268" s="244"/>
      <c r="D268" s="92"/>
      <c r="E268" s="90" t="s">
        <v>18</v>
      </c>
      <c r="F268" s="203" t="s">
        <v>92</v>
      </c>
      <c r="G268" s="19"/>
      <c r="H268" s="19"/>
      <c r="I268" s="19"/>
      <c r="J268" s="245"/>
      <c r="K268" s="246"/>
    </row>
    <row r="269" spans="2:11">
      <c r="B269" s="243"/>
      <c r="C269" s="244"/>
      <c r="D269" s="92"/>
      <c r="E269" s="92"/>
      <c r="F269" s="92"/>
      <c r="G269" s="92"/>
      <c r="H269" s="92"/>
      <c r="I269" s="92"/>
      <c r="J269" s="245"/>
      <c r="K269" s="246"/>
    </row>
    <row r="270" spans="2:11">
      <c r="B270" s="243"/>
      <c r="C270" s="252" t="s">
        <v>166</v>
      </c>
      <c r="D270" s="88">
        <f>H187+H267</f>
        <v>3247.2057800000002</v>
      </c>
      <c r="E270" s="19" t="s">
        <v>31</v>
      </c>
      <c r="F270" s="857" t="s">
        <v>229</v>
      </c>
      <c r="G270" s="92"/>
      <c r="H270" s="92"/>
      <c r="I270" s="92"/>
      <c r="J270" s="245"/>
      <c r="K270" s="246"/>
    </row>
    <row r="271" spans="2:11">
      <c r="B271" s="243"/>
      <c r="C271" s="252"/>
      <c r="D271" s="17"/>
      <c r="E271" s="203"/>
      <c r="F271" s="245"/>
      <c r="G271" s="245"/>
      <c r="H271" s="245"/>
      <c r="I271" s="245"/>
      <c r="J271" s="245"/>
      <c r="K271" s="246"/>
    </row>
    <row r="272" spans="2:11">
      <c r="B272" s="243"/>
      <c r="C272" s="252" t="s">
        <v>293</v>
      </c>
      <c r="D272" s="60" t="s">
        <v>602</v>
      </c>
      <c r="E272" s="93" t="s">
        <v>32</v>
      </c>
      <c r="F272" s="125">
        <f>D270</f>
        <v>3247.2057800000002</v>
      </c>
      <c r="G272" s="123">
        <f>(D52)</f>
        <v>11025</v>
      </c>
      <c r="H272" s="159">
        <f>1.5*(F272)/(G272)</f>
        <v>0.4417967047619048</v>
      </c>
      <c r="I272" s="81" t="s">
        <v>36</v>
      </c>
      <c r="J272" s="245"/>
      <c r="K272" s="246"/>
    </row>
    <row r="273" spans="2:11">
      <c r="B273" s="243"/>
      <c r="C273" s="244"/>
      <c r="D273" s="81"/>
      <c r="E273" s="19"/>
      <c r="F273" s="19"/>
      <c r="G273" s="114" t="s">
        <v>315</v>
      </c>
      <c r="H273" s="92"/>
      <c r="I273" s="19"/>
      <c r="J273" s="245"/>
      <c r="K273" s="246"/>
    </row>
    <row r="274" spans="2:11">
      <c r="B274" s="243"/>
      <c r="C274" s="244"/>
      <c r="D274" s="986" t="s">
        <v>94</v>
      </c>
      <c r="E274" s="81" t="s">
        <v>289</v>
      </c>
      <c r="F274" s="119">
        <f>C14</f>
        <v>1</v>
      </c>
      <c r="G274" s="92">
        <f>0.8*2*(data!H17)/3</f>
        <v>0.96000000000000008</v>
      </c>
      <c r="H274" s="120">
        <f>C14</f>
        <v>1</v>
      </c>
      <c r="I274" s="19">
        <f>(G274)*(H274)</f>
        <v>0.96000000000000008</v>
      </c>
      <c r="J274" s="252" t="s">
        <v>36</v>
      </c>
      <c r="K274" s="246"/>
    </row>
    <row r="275" spans="2:11" ht="14.25" thickBot="1">
      <c r="B275" s="243"/>
      <c r="C275" s="253"/>
      <c r="D275" s="253"/>
      <c r="E275" s="254"/>
      <c r="F275" s="253" t="s">
        <v>17</v>
      </c>
      <c r="G275" s="254"/>
      <c r="H275" s="62" t="s">
        <v>17</v>
      </c>
      <c r="I275" s="254"/>
      <c r="J275" s="175" t="s">
        <v>322</v>
      </c>
      <c r="K275" s="619" t="str">
        <f>IF(H272&lt;=I274,"◯","×")</f>
        <v>◯</v>
      </c>
    </row>
    <row r="276" spans="2:11">
      <c r="B276" s="63" t="s">
        <v>270</v>
      </c>
      <c r="C276" s="59"/>
      <c r="D276" s="245"/>
      <c r="E276" s="245"/>
      <c r="F276" s="245"/>
      <c r="G276" s="245"/>
      <c r="H276" s="245"/>
      <c r="I276" s="245"/>
      <c r="J276" s="245"/>
      <c r="K276" s="250"/>
    </row>
    <row r="277" spans="2:11">
      <c r="B277" s="243"/>
      <c r="C277" s="244" t="s">
        <v>290</v>
      </c>
      <c r="D277" s="220" t="s">
        <v>294</v>
      </c>
      <c r="E277" s="88">
        <f>(E31)</f>
        <v>1092</v>
      </c>
      <c r="F277" s="285">
        <f>(F10)</f>
        <v>1.82</v>
      </c>
      <c r="G277" s="19" t="s">
        <v>295</v>
      </c>
      <c r="H277" s="125">
        <f>((E277)*(F277)/2)</f>
        <v>993.72</v>
      </c>
      <c r="I277" s="19" t="s">
        <v>31</v>
      </c>
      <c r="J277" s="245"/>
      <c r="K277" s="246"/>
    </row>
    <row r="278" spans="2:11">
      <c r="B278" s="243"/>
      <c r="C278" s="244"/>
      <c r="D278" s="92"/>
      <c r="E278" s="90" t="s">
        <v>18</v>
      </c>
      <c r="F278" s="203" t="s">
        <v>92</v>
      </c>
      <c r="G278" s="19"/>
      <c r="H278" s="19"/>
      <c r="I278" s="19"/>
      <c r="J278" s="245"/>
      <c r="K278" s="246"/>
    </row>
    <row r="279" spans="2:11">
      <c r="B279" s="243"/>
      <c r="C279" s="244"/>
      <c r="D279" s="92"/>
      <c r="E279" s="92"/>
      <c r="F279" s="92"/>
      <c r="G279" s="92"/>
      <c r="H279" s="92"/>
      <c r="I279" s="92"/>
      <c r="J279" s="245"/>
      <c r="K279" s="246"/>
    </row>
    <row r="280" spans="2:11">
      <c r="B280" s="243"/>
      <c r="C280" s="252" t="s">
        <v>166</v>
      </c>
      <c r="D280" s="88">
        <f>H187+H277</f>
        <v>1215.04838</v>
      </c>
      <c r="E280" s="19" t="s">
        <v>31</v>
      </c>
      <c r="F280" s="102" t="s">
        <v>267</v>
      </c>
      <c r="G280" s="92"/>
      <c r="H280" s="92"/>
      <c r="I280" s="92"/>
      <c r="J280" s="245"/>
      <c r="K280" s="246"/>
    </row>
    <row r="281" spans="2:11">
      <c r="B281" s="243"/>
      <c r="C281" s="252"/>
      <c r="D281" s="17"/>
      <c r="E281" s="203"/>
      <c r="F281" s="245"/>
      <c r="G281" s="245"/>
      <c r="H281" s="245"/>
      <c r="I281" s="245"/>
      <c r="J281" s="245"/>
      <c r="K281" s="246"/>
    </row>
    <row r="282" spans="2:11">
      <c r="B282" s="243"/>
      <c r="C282" s="252" t="s">
        <v>293</v>
      </c>
      <c r="D282" s="60" t="s">
        <v>600</v>
      </c>
      <c r="E282" s="93" t="s">
        <v>32</v>
      </c>
      <c r="F282" s="125">
        <f>D280</f>
        <v>1215.04838</v>
      </c>
      <c r="G282" s="123">
        <f>(D52)</f>
        <v>11025</v>
      </c>
      <c r="H282" s="159">
        <f>1.5*(F282)/(G282)</f>
        <v>0.16531270476190474</v>
      </c>
      <c r="I282" s="81" t="s">
        <v>36</v>
      </c>
      <c r="J282" s="245"/>
      <c r="K282" s="246"/>
    </row>
    <row r="283" spans="2:11">
      <c r="B283" s="243"/>
      <c r="C283" s="244"/>
      <c r="D283" s="81"/>
      <c r="E283" s="19"/>
      <c r="F283" s="19"/>
      <c r="G283" s="114" t="s">
        <v>315</v>
      </c>
      <c r="H283" s="92"/>
      <c r="I283" s="19"/>
      <c r="J283" s="245"/>
      <c r="K283" s="246"/>
    </row>
    <row r="284" spans="2:11">
      <c r="B284" s="243"/>
      <c r="C284" s="244"/>
      <c r="D284" s="986" t="s">
        <v>94</v>
      </c>
      <c r="E284" s="92" t="s">
        <v>89</v>
      </c>
      <c r="F284" s="119">
        <f>C14</f>
        <v>1</v>
      </c>
      <c r="G284" s="92">
        <f>1.1*(data!H17)/3</f>
        <v>0.66</v>
      </c>
      <c r="H284" s="120">
        <f>C14</f>
        <v>1</v>
      </c>
      <c r="I284" s="19">
        <f>(G284)*(H284)</f>
        <v>0.66</v>
      </c>
      <c r="J284" s="252" t="s">
        <v>36</v>
      </c>
      <c r="K284" s="246"/>
    </row>
    <row r="285" spans="2:11" ht="14.25" thickBot="1">
      <c r="B285" s="243"/>
      <c r="C285" s="253"/>
      <c r="D285" s="253"/>
      <c r="E285" s="254"/>
      <c r="F285" s="253" t="s">
        <v>17</v>
      </c>
      <c r="G285" s="254"/>
      <c r="H285" s="62" t="s">
        <v>17</v>
      </c>
      <c r="I285" s="254"/>
      <c r="J285" s="175" t="s">
        <v>322</v>
      </c>
      <c r="K285" s="619" t="str">
        <f>IF(H282&lt;=I284,"◯","×")</f>
        <v>◯</v>
      </c>
    </row>
    <row r="286" spans="2:11">
      <c r="B286" s="243"/>
      <c r="C286" s="59"/>
      <c r="D286" s="245"/>
      <c r="E286" s="245"/>
      <c r="F286" s="245"/>
      <c r="G286" s="245"/>
      <c r="H286" s="245"/>
      <c r="I286" s="245"/>
      <c r="J286" s="245"/>
      <c r="K286" s="250"/>
    </row>
    <row r="287" spans="2:11">
      <c r="B287" s="243"/>
      <c r="C287" s="244" t="s">
        <v>290</v>
      </c>
      <c r="D287" s="220" t="s">
        <v>294</v>
      </c>
      <c r="E287" s="88">
        <f>(E32)</f>
        <v>3432.52</v>
      </c>
      <c r="F287" s="285">
        <f>(F10)</f>
        <v>1.82</v>
      </c>
      <c r="G287" s="19" t="s">
        <v>295</v>
      </c>
      <c r="H287" s="125">
        <f>((E287)*(F287)/2)</f>
        <v>3123.5932000000003</v>
      </c>
      <c r="I287" s="19" t="s">
        <v>31</v>
      </c>
      <c r="J287" s="245"/>
      <c r="K287" s="246"/>
    </row>
    <row r="288" spans="2:11">
      <c r="B288" s="243"/>
      <c r="C288" s="244"/>
      <c r="D288" s="92"/>
      <c r="E288" s="90" t="s">
        <v>18</v>
      </c>
      <c r="F288" s="203" t="s">
        <v>92</v>
      </c>
      <c r="G288" s="19"/>
      <c r="H288" s="19"/>
      <c r="I288" s="19"/>
      <c r="J288" s="245"/>
      <c r="K288" s="246"/>
    </row>
    <row r="289" spans="2:11">
      <c r="B289" s="243"/>
      <c r="C289" s="244"/>
      <c r="D289" s="92"/>
      <c r="E289" s="92"/>
      <c r="F289" s="92"/>
      <c r="G289" s="92"/>
      <c r="H289" s="92"/>
      <c r="I289" s="92"/>
      <c r="J289" s="245"/>
      <c r="K289" s="246"/>
    </row>
    <row r="290" spans="2:11">
      <c r="B290" s="243"/>
      <c r="C290" s="252" t="s">
        <v>166</v>
      </c>
      <c r="D290" s="88">
        <f>H187+H287</f>
        <v>3344.9215800000002</v>
      </c>
      <c r="E290" s="19" t="s">
        <v>31</v>
      </c>
      <c r="F290" s="857" t="s">
        <v>228</v>
      </c>
      <c r="G290" s="92"/>
      <c r="H290" s="92"/>
      <c r="I290" s="92"/>
      <c r="J290" s="245"/>
      <c r="K290" s="246"/>
    </row>
    <row r="291" spans="2:11">
      <c r="B291" s="243"/>
      <c r="C291" s="252"/>
      <c r="D291" s="17"/>
      <c r="E291" s="203"/>
      <c r="F291" s="245"/>
      <c r="G291" s="245"/>
      <c r="H291" s="245"/>
      <c r="I291" s="245"/>
      <c r="J291" s="245"/>
      <c r="K291" s="246"/>
    </row>
    <row r="292" spans="2:11">
      <c r="B292" s="243"/>
      <c r="C292" s="252" t="s">
        <v>293</v>
      </c>
      <c r="D292" s="60" t="s">
        <v>601</v>
      </c>
      <c r="E292" s="93" t="s">
        <v>32</v>
      </c>
      <c r="F292" s="125">
        <f>D290</f>
        <v>3344.9215800000002</v>
      </c>
      <c r="G292" s="123">
        <f>(D52)</f>
        <v>11025</v>
      </c>
      <c r="H292" s="159">
        <f>1.5*(F292)/(G292)</f>
        <v>0.45509137142857148</v>
      </c>
      <c r="I292" s="81" t="s">
        <v>36</v>
      </c>
      <c r="J292" s="245"/>
      <c r="K292" s="246"/>
    </row>
    <row r="293" spans="2:11">
      <c r="B293" s="243"/>
      <c r="C293" s="244"/>
      <c r="D293" s="81"/>
      <c r="E293" s="19"/>
      <c r="F293" s="19"/>
      <c r="G293" s="114" t="s">
        <v>315</v>
      </c>
      <c r="H293" s="92"/>
      <c r="I293" s="19"/>
      <c r="J293" s="245"/>
      <c r="K293" s="246"/>
    </row>
    <row r="294" spans="2:11">
      <c r="B294" s="243"/>
      <c r="C294" s="244"/>
      <c r="D294" s="986" t="s">
        <v>94</v>
      </c>
      <c r="E294" s="81" t="s">
        <v>288</v>
      </c>
      <c r="F294" s="119">
        <f>C14</f>
        <v>1</v>
      </c>
      <c r="G294" s="92">
        <f>1.3*1.1*(data!H17)/3</f>
        <v>0.8580000000000001</v>
      </c>
      <c r="H294" s="120">
        <f>C14</f>
        <v>1</v>
      </c>
      <c r="I294" s="19">
        <f>(G294)*(H294)</f>
        <v>0.8580000000000001</v>
      </c>
      <c r="J294" s="252" t="s">
        <v>36</v>
      </c>
      <c r="K294" s="246"/>
    </row>
    <row r="295" spans="2:11" ht="14.25" thickBot="1">
      <c r="B295" s="243"/>
      <c r="C295" s="253"/>
      <c r="D295" s="253"/>
      <c r="E295" s="254"/>
      <c r="F295" s="253" t="s">
        <v>17</v>
      </c>
      <c r="G295" s="254"/>
      <c r="H295" s="62" t="s">
        <v>17</v>
      </c>
      <c r="I295" s="254"/>
      <c r="J295" s="175" t="s">
        <v>322</v>
      </c>
      <c r="K295" s="619" t="str">
        <f>IF(H292&lt;=I294,"◯","×")</f>
        <v>◯</v>
      </c>
    </row>
    <row r="296" spans="2:11">
      <c r="B296" s="243"/>
      <c r="C296" s="59"/>
      <c r="D296" s="245"/>
      <c r="E296" s="245"/>
      <c r="F296" s="245"/>
      <c r="G296" s="245"/>
      <c r="H296" s="245"/>
      <c r="I296" s="245"/>
      <c r="J296" s="245"/>
      <c r="K296" s="250"/>
    </row>
    <row r="297" spans="2:11">
      <c r="B297" s="243"/>
      <c r="C297" s="244" t="s">
        <v>290</v>
      </c>
      <c r="D297" s="220" t="s">
        <v>294</v>
      </c>
      <c r="E297" s="88">
        <f>(E33)</f>
        <v>4433.5200000000004</v>
      </c>
      <c r="F297" s="285">
        <f>(F10)</f>
        <v>1.82</v>
      </c>
      <c r="G297" s="19" t="s">
        <v>295</v>
      </c>
      <c r="H297" s="125">
        <f>((E297)*(F297)/2)</f>
        <v>4034.5032000000006</v>
      </c>
      <c r="I297" s="19" t="s">
        <v>31</v>
      </c>
      <c r="J297" s="245"/>
      <c r="K297" s="246"/>
    </row>
    <row r="298" spans="2:11">
      <c r="B298" s="243"/>
      <c r="C298" s="244"/>
      <c r="D298" s="92"/>
      <c r="E298" s="90" t="s">
        <v>18</v>
      </c>
      <c r="F298" s="203" t="s">
        <v>92</v>
      </c>
      <c r="G298" s="19"/>
      <c r="H298" s="19"/>
      <c r="I298" s="19"/>
      <c r="J298" s="245"/>
      <c r="K298" s="246"/>
    </row>
    <row r="299" spans="2:11">
      <c r="B299" s="243"/>
      <c r="C299" s="244"/>
      <c r="D299" s="92"/>
      <c r="E299" s="92"/>
      <c r="F299" s="92"/>
      <c r="G299" s="92"/>
      <c r="H299" s="92"/>
      <c r="I299" s="92"/>
      <c r="J299" s="245"/>
      <c r="K299" s="246"/>
    </row>
    <row r="300" spans="2:11">
      <c r="B300" s="243"/>
      <c r="C300" s="252" t="s">
        <v>166</v>
      </c>
      <c r="D300" s="88">
        <f>H187+H297</f>
        <v>4255.8315800000009</v>
      </c>
      <c r="E300" s="19" t="s">
        <v>31</v>
      </c>
      <c r="F300" s="857" t="s">
        <v>229</v>
      </c>
      <c r="G300" s="92"/>
      <c r="H300" s="92"/>
      <c r="I300" s="92"/>
      <c r="J300" s="245"/>
      <c r="K300" s="246"/>
    </row>
    <row r="301" spans="2:11">
      <c r="B301" s="243"/>
      <c r="C301" s="252"/>
      <c r="D301" s="17"/>
      <c r="E301" s="203"/>
      <c r="F301" s="245"/>
      <c r="G301" s="245"/>
      <c r="H301" s="245"/>
      <c r="I301" s="245"/>
      <c r="J301" s="245"/>
      <c r="K301" s="246"/>
    </row>
    <row r="302" spans="2:11">
      <c r="B302" s="243"/>
      <c r="C302" s="252" t="s">
        <v>293</v>
      </c>
      <c r="D302" s="60" t="s">
        <v>602</v>
      </c>
      <c r="E302" s="93" t="s">
        <v>32</v>
      </c>
      <c r="F302" s="125">
        <f>D300</f>
        <v>4255.8315800000009</v>
      </c>
      <c r="G302" s="123">
        <f>(D52)</f>
        <v>11025</v>
      </c>
      <c r="H302" s="159">
        <f>1.5*(F302)/(G302)</f>
        <v>0.57902470476190482</v>
      </c>
      <c r="I302" s="81" t="s">
        <v>36</v>
      </c>
      <c r="J302" s="245"/>
      <c r="K302" s="246"/>
    </row>
    <row r="303" spans="2:11">
      <c r="B303" s="243"/>
      <c r="C303" s="244"/>
      <c r="D303" s="81"/>
      <c r="E303" s="19"/>
      <c r="F303" s="19"/>
      <c r="G303" s="114" t="s">
        <v>315</v>
      </c>
      <c r="H303" s="92"/>
      <c r="I303" s="19"/>
      <c r="J303" s="245"/>
      <c r="K303" s="246"/>
    </row>
    <row r="304" spans="2:11">
      <c r="B304" s="243"/>
      <c r="C304" s="244"/>
      <c r="D304" s="986" t="s">
        <v>94</v>
      </c>
      <c r="E304" s="81" t="s">
        <v>289</v>
      </c>
      <c r="F304" s="119">
        <f>C14</f>
        <v>1</v>
      </c>
      <c r="G304" s="92">
        <f>0.8*2*(data!H17)/3</f>
        <v>0.96000000000000008</v>
      </c>
      <c r="H304" s="120">
        <f>C14</f>
        <v>1</v>
      </c>
      <c r="I304" s="19">
        <f>(G304)*(H304)</f>
        <v>0.96000000000000008</v>
      </c>
      <c r="J304" s="252" t="s">
        <v>36</v>
      </c>
      <c r="K304" s="246"/>
    </row>
    <row r="305" spans="2:11" ht="14.25" thickBot="1">
      <c r="B305" s="243"/>
      <c r="C305" s="253"/>
      <c r="D305" s="253"/>
      <c r="E305" s="254"/>
      <c r="F305" s="253" t="s">
        <v>17</v>
      </c>
      <c r="G305" s="254"/>
      <c r="H305" s="62" t="s">
        <v>17</v>
      </c>
      <c r="I305" s="254"/>
      <c r="J305" s="175" t="s">
        <v>322</v>
      </c>
      <c r="K305" s="619" t="str">
        <f>IF(H302&lt;=I304,"◯","×")</f>
        <v>◯</v>
      </c>
    </row>
    <row r="306" spans="2:11">
      <c r="B306" s="200" t="s">
        <v>343</v>
      </c>
      <c r="C306" s="205"/>
      <c r="D306" s="265"/>
      <c r="E306" s="266"/>
      <c r="F306" s="266"/>
      <c r="G306" s="266"/>
      <c r="H306" s="266"/>
      <c r="I306" s="266"/>
      <c r="J306" s="266"/>
      <c r="K306" s="267"/>
    </row>
    <row r="307" spans="2:11">
      <c r="B307" s="275" t="s">
        <v>273</v>
      </c>
      <c r="C307" s="268"/>
      <c r="D307" s="249"/>
      <c r="E307" s="249"/>
      <c r="F307" s="249"/>
      <c r="G307" s="249"/>
      <c r="H307" s="249"/>
      <c r="I307" s="249"/>
      <c r="J307" s="249"/>
      <c r="K307" s="250"/>
    </row>
    <row r="308" spans="2:11">
      <c r="B308" s="68" t="s">
        <v>221</v>
      </c>
      <c r="C308" s="1006" t="s">
        <v>604</v>
      </c>
      <c r="D308" s="196">
        <f>E26</f>
        <v>243.21800000000002</v>
      </c>
      <c r="E308" s="213">
        <f>(F10)</f>
        <v>1.82</v>
      </c>
      <c r="F308" s="41" t="s">
        <v>162</v>
      </c>
      <c r="G308" s="162">
        <f>data!F20</f>
        <v>7.2972799999999998</v>
      </c>
      <c r="H308" s="124">
        <f>E54</f>
        <v>10129218.75</v>
      </c>
      <c r="I308" s="96" t="s">
        <v>105</v>
      </c>
      <c r="J308" s="125">
        <f>(5*($D$308)*($E$308)^4)/(384*1000*($G$308)*(H308))*1000000000*2</f>
        <v>0.94018448382458375</v>
      </c>
      <c r="K308" s="95" t="s">
        <v>104</v>
      </c>
    </row>
    <row r="309" spans="2:11">
      <c r="B309" s="243"/>
      <c r="C309" s="252"/>
      <c r="D309" s="199" t="s">
        <v>71</v>
      </c>
      <c r="E309" s="203" t="s">
        <v>92</v>
      </c>
      <c r="F309" s="245"/>
      <c r="G309" s="19" t="s">
        <v>37</v>
      </c>
      <c r="H309" s="251" t="s">
        <v>40</v>
      </c>
      <c r="I309" s="252" t="s">
        <v>66</v>
      </c>
      <c r="J309" s="245"/>
      <c r="K309" s="246"/>
    </row>
    <row r="310" spans="2:11">
      <c r="B310" s="243"/>
      <c r="C310" s="244"/>
      <c r="D310" s="245"/>
      <c r="E310" s="245"/>
      <c r="F310" s="245"/>
      <c r="G310" s="245"/>
      <c r="H310" s="245"/>
      <c r="I310" s="245"/>
      <c r="J310" s="248"/>
      <c r="K310" s="246"/>
    </row>
    <row r="311" spans="2:11">
      <c r="B311" s="68" t="s">
        <v>143</v>
      </c>
      <c r="C311" s="1007" t="s">
        <v>605</v>
      </c>
      <c r="D311" s="196">
        <f>G38</f>
        <v>496.86</v>
      </c>
      <c r="E311" s="286">
        <f>D38</f>
        <v>0.91</v>
      </c>
      <c r="F311" s="41" t="s">
        <v>164</v>
      </c>
      <c r="G311" s="161">
        <f>(E311)</f>
        <v>0.91</v>
      </c>
      <c r="H311" s="96" t="s">
        <v>173</v>
      </c>
      <c r="I311" s="162">
        <f>data!F20</f>
        <v>7.2972799999999998</v>
      </c>
      <c r="J311" s="163">
        <f>E54</f>
        <v>10129218.75</v>
      </c>
      <c r="K311" s="246"/>
    </row>
    <row r="312" spans="2:11">
      <c r="B312" s="68"/>
      <c r="C312" s="244"/>
      <c r="D312" s="202" t="s">
        <v>71</v>
      </c>
      <c r="E312" s="41"/>
      <c r="F312" s="41"/>
      <c r="G312" s="41"/>
      <c r="H312" s="41"/>
      <c r="I312" s="19" t="s">
        <v>37</v>
      </c>
      <c r="J312" s="203" t="s">
        <v>40</v>
      </c>
      <c r="K312" s="246"/>
    </row>
    <row r="313" spans="2:11">
      <c r="B313" s="243"/>
      <c r="C313" s="244"/>
      <c r="D313" s="164">
        <f>F10</f>
        <v>1.82</v>
      </c>
      <c r="E313" s="1197" t="s">
        <v>105</v>
      </c>
      <c r="F313" s="1197"/>
      <c r="G313" s="125">
        <f>(($D$311)*($E$311)*(($F$10)*($F$10)-($G$311)*($G$311))^(3/2))/(9*3^(0.5)*($I$311)*1000*(J311)*($D$313))*1000000000*2</f>
        <v>1.6884958454332251</v>
      </c>
      <c r="H313" s="81" t="s">
        <v>104</v>
      </c>
      <c r="I313" s="41"/>
      <c r="J313" s="19"/>
      <c r="K313" s="246"/>
    </row>
    <row r="314" spans="2:11">
      <c r="B314" s="243"/>
      <c r="C314" s="244"/>
      <c r="D314" s="203" t="s">
        <v>92</v>
      </c>
      <c r="E314" s="245"/>
      <c r="F314" s="252" t="s">
        <v>66</v>
      </c>
      <c r="G314" s="245"/>
      <c r="H314" s="245"/>
      <c r="I314" s="245"/>
      <c r="J314" s="248"/>
      <c r="K314" s="246"/>
    </row>
    <row r="315" spans="2:11">
      <c r="B315" s="243"/>
      <c r="C315" s="37" t="s">
        <v>165</v>
      </c>
      <c r="D315" s="218">
        <f>(J308)+(G313)</f>
        <v>2.6286803292578087</v>
      </c>
      <c r="E315" s="84" t="s">
        <v>104</v>
      </c>
      <c r="F315" s="472" t="s">
        <v>267</v>
      </c>
      <c r="G315" s="245"/>
      <c r="H315" s="245"/>
      <c r="I315" s="245"/>
      <c r="J315" s="245"/>
      <c r="K315" s="246"/>
    </row>
    <row r="316" spans="2:11">
      <c r="B316" s="243"/>
      <c r="C316" s="37"/>
      <c r="D316" s="245"/>
      <c r="E316" s="252"/>
      <c r="F316" s="245"/>
      <c r="G316" s="245"/>
      <c r="H316" s="245"/>
      <c r="I316" s="245"/>
      <c r="J316" s="245"/>
      <c r="K316" s="246"/>
    </row>
    <row r="317" spans="2:11" ht="14.25" thickBot="1">
      <c r="B317" s="243"/>
      <c r="C317" s="219" t="s">
        <v>94</v>
      </c>
      <c r="D317" s="97" t="s">
        <v>68</v>
      </c>
      <c r="E317" s="125">
        <f>1000*(F10)/150</f>
        <v>12.133333333333333</v>
      </c>
      <c r="F317" s="92" t="s">
        <v>248</v>
      </c>
      <c r="G317" s="52" t="s">
        <v>296</v>
      </c>
      <c r="H317" s="245"/>
      <c r="I317" s="245"/>
      <c r="J317" s="175" t="s">
        <v>322</v>
      </c>
      <c r="K317" s="619" t="str">
        <f>IF(D315&lt;=E317,"◯","×")</f>
        <v>◯</v>
      </c>
    </row>
    <row r="318" spans="2:11">
      <c r="B318" s="243"/>
      <c r="C318" s="269"/>
      <c r="D318" s="257"/>
      <c r="E318" s="257"/>
      <c r="F318" s="257"/>
      <c r="G318" s="257"/>
      <c r="H318" s="257"/>
      <c r="I318" s="257"/>
      <c r="J318" s="257"/>
      <c r="K318" s="258"/>
    </row>
    <row r="319" spans="2:11">
      <c r="B319" s="243"/>
      <c r="C319" s="219" t="s">
        <v>606</v>
      </c>
      <c r="D319" s="196">
        <f>G39</f>
        <v>1561.7966000000001</v>
      </c>
      <c r="E319" s="286">
        <f>D38</f>
        <v>0.91</v>
      </c>
      <c r="F319" s="41" t="s">
        <v>164</v>
      </c>
      <c r="G319" s="161">
        <f>(E319)</f>
        <v>0.91</v>
      </c>
      <c r="H319" s="96" t="s">
        <v>173</v>
      </c>
      <c r="I319" s="162">
        <f>data!F20</f>
        <v>7.2972799999999998</v>
      </c>
      <c r="J319" s="163">
        <f>E54</f>
        <v>10129218.75</v>
      </c>
      <c r="K319" s="246"/>
    </row>
    <row r="320" spans="2:11">
      <c r="B320" s="243"/>
      <c r="C320" s="244"/>
      <c r="D320" s="202" t="s">
        <v>71</v>
      </c>
      <c r="E320" s="41"/>
      <c r="F320" s="41"/>
      <c r="G320" s="41"/>
      <c r="H320" s="41"/>
      <c r="I320" s="19" t="s">
        <v>37</v>
      </c>
      <c r="J320" s="203" t="s">
        <v>40</v>
      </c>
      <c r="K320" s="246"/>
    </row>
    <row r="321" spans="2:12">
      <c r="B321" s="243"/>
      <c r="C321" s="244"/>
      <c r="D321" s="164">
        <f>F10</f>
        <v>1.82</v>
      </c>
      <c r="E321" s="1197" t="s">
        <v>105</v>
      </c>
      <c r="F321" s="1197"/>
      <c r="G321" s="125">
        <f>(($D$319)*($E$319)*(($F$10)*($F$10)-($G$319)*($G$319))^(3/2))/(9*3^(0.5)*($I$319)*1000*(J319)*($D$321))*1000000000*2</f>
        <v>5.3075052741451048</v>
      </c>
      <c r="H321" s="81" t="s">
        <v>104</v>
      </c>
      <c r="I321" s="41"/>
      <c r="J321" s="19"/>
      <c r="K321" s="246"/>
    </row>
    <row r="322" spans="2:12">
      <c r="B322" s="243"/>
      <c r="C322" s="244"/>
      <c r="D322" s="203" t="s">
        <v>92</v>
      </c>
      <c r="E322" s="245"/>
      <c r="F322" s="252" t="s">
        <v>66</v>
      </c>
      <c r="G322" s="245"/>
      <c r="H322" s="245"/>
      <c r="I322" s="245"/>
      <c r="J322" s="248"/>
      <c r="K322" s="246"/>
    </row>
    <row r="323" spans="2:12">
      <c r="B323" s="243"/>
      <c r="C323" s="37" t="s">
        <v>165</v>
      </c>
      <c r="D323" s="218">
        <f>(J308)+(G321)</f>
        <v>6.2476897579696882</v>
      </c>
      <c r="E323" s="84" t="s">
        <v>104</v>
      </c>
      <c r="F323" s="851" t="s">
        <v>228</v>
      </c>
      <c r="G323" s="245"/>
      <c r="H323" s="245"/>
      <c r="I323" s="245"/>
      <c r="J323" s="245"/>
      <c r="K323" s="246"/>
    </row>
    <row r="324" spans="2:12">
      <c r="B324" s="243"/>
      <c r="C324" s="37"/>
      <c r="D324" s="245"/>
      <c r="E324" s="252"/>
      <c r="F324" s="245"/>
      <c r="G324" s="245"/>
      <c r="H324" s="245"/>
      <c r="I324" s="245"/>
      <c r="J324" s="245"/>
      <c r="K324" s="246"/>
    </row>
    <row r="325" spans="2:12" ht="14.25" thickBot="1">
      <c r="B325" s="243"/>
      <c r="C325" s="219" t="s">
        <v>94</v>
      </c>
      <c r="D325" s="97" t="s">
        <v>68</v>
      </c>
      <c r="E325" s="125">
        <f>1000*(F10)/150</f>
        <v>12.133333333333333</v>
      </c>
      <c r="F325" s="92" t="s">
        <v>248</v>
      </c>
      <c r="G325" s="52" t="s">
        <v>296</v>
      </c>
      <c r="H325" s="245"/>
      <c r="I325" s="245"/>
      <c r="J325" s="25" t="s">
        <v>446</v>
      </c>
      <c r="K325" s="619" t="str">
        <f>IF(D323&lt;=E325,"◯","×")</f>
        <v>◯</v>
      </c>
      <c r="L325" s="175" t="s">
        <v>322</v>
      </c>
    </row>
    <row r="326" spans="2:12" ht="15" thickTop="1" thickBot="1">
      <c r="B326" s="243"/>
      <c r="C326" s="96"/>
      <c r="D326" s="97" t="s">
        <v>68</v>
      </c>
      <c r="E326" s="125">
        <f>1000*(F10)/100</f>
        <v>18.2</v>
      </c>
      <c r="F326" s="92" t="s">
        <v>297</v>
      </c>
      <c r="G326" s="52" t="s">
        <v>298</v>
      </c>
      <c r="H326" s="245"/>
      <c r="I326" s="245"/>
      <c r="J326" s="638" t="s">
        <v>447</v>
      </c>
      <c r="K326" s="619" t="str">
        <f>IF(D323&lt;=E326,"◯","×")</f>
        <v>◯</v>
      </c>
      <c r="L326" s="619" t="str">
        <f>IF(K325="◯",IF(K326="◯","◯","×"),"×")</f>
        <v>◯</v>
      </c>
    </row>
    <row r="327" spans="2:12" ht="14.25" thickTop="1">
      <c r="B327" s="243"/>
      <c r="C327" s="269"/>
      <c r="D327" s="257"/>
      <c r="E327" s="257"/>
      <c r="F327" s="257"/>
      <c r="G327" s="257"/>
      <c r="H327" s="257"/>
      <c r="I327" s="257"/>
      <c r="J327" s="257"/>
      <c r="K327" s="258"/>
    </row>
    <row r="328" spans="2:12">
      <c r="B328" s="243"/>
      <c r="C328" s="1008" t="s">
        <v>607</v>
      </c>
      <c r="D328" s="196">
        <f>G40</f>
        <v>2017.2516000000003</v>
      </c>
      <c r="E328" s="286">
        <f>D38</f>
        <v>0.91</v>
      </c>
      <c r="F328" s="41" t="s">
        <v>164</v>
      </c>
      <c r="G328" s="161">
        <f>(E328)</f>
        <v>0.91</v>
      </c>
      <c r="H328" s="96" t="s">
        <v>173</v>
      </c>
      <c r="I328" s="162">
        <f>data!F20</f>
        <v>7.2972799999999998</v>
      </c>
      <c r="J328" s="163">
        <f>E54</f>
        <v>10129218.75</v>
      </c>
      <c r="K328" s="246"/>
    </row>
    <row r="329" spans="2:12">
      <c r="B329" s="243"/>
      <c r="C329" s="244"/>
      <c r="D329" s="202" t="s">
        <v>71</v>
      </c>
      <c r="E329" s="41"/>
      <c r="F329" s="41"/>
      <c r="G329" s="41"/>
      <c r="H329" s="41"/>
      <c r="I329" s="19" t="s">
        <v>37</v>
      </c>
      <c r="J329" s="203" t="s">
        <v>40</v>
      </c>
      <c r="K329" s="246"/>
    </row>
    <row r="330" spans="2:12">
      <c r="B330" s="243"/>
      <c r="C330" s="252"/>
      <c r="D330" s="287">
        <f>F10</f>
        <v>1.82</v>
      </c>
      <c r="E330" s="1167" t="s">
        <v>105</v>
      </c>
      <c r="F330" s="1167"/>
      <c r="G330" s="19">
        <f>((D328)*(E328)*((F10)*(F10)-(G328)*(G328))^(3/2))/(9*3^(0.5)*(I328)*1000*(J328)*(D330))*1000000000*2</f>
        <v>6.8552931324588959</v>
      </c>
      <c r="H330" s="81" t="s">
        <v>104</v>
      </c>
      <c r="I330" s="19"/>
      <c r="J330" s="19"/>
      <c r="K330" s="246"/>
    </row>
    <row r="331" spans="2:12">
      <c r="B331" s="243"/>
      <c r="C331" s="252"/>
      <c r="D331" s="203" t="s">
        <v>92</v>
      </c>
      <c r="E331" s="248"/>
      <c r="F331" s="252" t="s">
        <v>66</v>
      </c>
      <c r="G331" s="248"/>
      <c r="H331" s="248"/>
      <c r="I331" s="248"/>
      <c r="J331" s="248"/>
      <c r="K331" s="246"/>
    </row>
    <row r="332" spans="2:12">
      <c r="B332" s="243"/>
      <c r="C332" s="66" t="s">
        <v>165</v>
      </c>
      <c r="D332" s="288">
        <f>(J308)+(G330)</f>
        <v>7.7954776162834793</v>
      </c>
      <c r="E332" s="84" t="s">
        <v>104</v>
      </c>
      <c r="F332" s="851" t="s">
        <v>229</v>
      </c>
      <c r="G332" s="248"/>
      <c r="H332" s="248"/>
      <c r="I332" s="248"/>
      <c r="J332" s="248"/>
      <c r="K332" s="246"/>
    </row>
    <row r="333" spans="2:12">
      <c r="B333" s="243"/>
      <c r="C333" s="66"/>
      <c r="D333" s="248"/>
      <c r="E333" s="252"/>
      <c r="F333" s="248"/>
      <c r="G333" s="248"/>
      <c r="H333" s="248"/>
      <c r="I333" s="248"/>
      <c r="J333" s="248"/>
      <c r="K333" s="246"/>
    </row>
    <row r="334" spans="2:12" ht="14.25" thickBot="1">
      <c r="B334" s="243"/>
      <c r="C334" s="60" t="s">
        <v>94</v>
      </c>
      <c r="D334" s="93" t="s">
        <v>68</v>
      </c>
      <c r="E334" s="159">
        <f>1000*(F10)/150</f>
        <v>12.133333333333333</v>
      </c>
      <c r="F334" s="19" t="s">
        <v>248</v>
      </c>
      <c r="G334" s="67" t="s">
        <v>296</v>
      </c>
      <c r="H334" s="248"/>
      <c r="I334" s="248"/>
      <c r="J334" s="25" t="s">
        <v>446</v>
      </c>
      <c r="K334" s="619" t="str">
        <f>IF(D332&lt;=E334,"◯","×")</f>
        <v>◯</v>
      </c>
      <c r="L334" s="175" t="s">
        <v>322</v>
      </c>
    </row>
    <row r="335" spans="2:12" ht="15" thickTop="1" thickBot="1">
      <c r="B335" s="243"/>
      <c r="C335" s="81"/>
      <c r="D335" s="93" t="s">
        <v>68</v>
      </c>
      <c r="E335" s="159">
        <f>1000*(F10)/100</f>
        <v>18.2</v>
      </c>
      <c r="F335" s="19" t="s">
        <v>297</v>
      </c>
      <c r="G335" s="67" t="s">
        <v>298</v>
      </c>
      <c r="H335" s="248"/>
      <c r="I335" s="248"/>
      <c r="J335" s="638" t="s">
        <v>447</v>
      </c>
      <c r="K335" s="619" t="str">
        <f>IF(D332&lt;=E335,"◯","×")</f>
        <v>◯</v>
      </c>
      <c r="L335" s="619" t="str">
        <f>IF(K334="◯",IF(K335="◯","◯","×"),"×")</f>
        <v>◯</v>
      </c>
    </row>
    <row r="336" spans="2:12" ht="14.25" thickTop="1">
      <c r="B336" s="261"/>
      <c r="C336" s="253"/>
      <c r="D336" s="254"/>
      <c r="E336" s="254"/>
      <c r="F336" s="254"/>
      <c r="G336" s="254"/>
      <c r="H336" s="254"/>
      <c r="I336" s="254"/>
      <c r="J336" s="254"/>
      <c r="K336" s="259"/>
    </row>
    <row r="337" spans="2:11">
      <c r="B337" s="57" t="s">
        <v>279</v>
      </c>
      <c r="C337" s="244"/>
      <c r="D337" s="245"/>
      <c r="E337" s="245"/>
      <c r="F337" s="245"/>
      <c r="G337" s="245"/>
      <c r="H337" s="245"/>
      <c r="I337" s="245"/>
      <c r="J337" s="245"/>
      <c r="K337" s="250"/>
    </row>
    <row r="338" spans="2:11">
      <c r="B338" s="466" t="s">
        <v>221</v>
      </c>
      <c r="C338" s="60" t="s">
        <v>64</v>
      </c>
      <c r="D338" s="196">
        <f>E26</f>
        <v>243.21800000000002</v>
      </c>
      <c r="E338" s="213">
        <f>(F10)</f>
        <v>1.82</v>
      </c>
      <c r="F338" s="41" t="s">
        <v>162</v>
      </c>
      <c r="G338" s="162">
        <f>data!F20</f>
        <v>7.2972799999999998</v>
      </c>
      <c r="H338" s="124">
        <f>E54</f>
        <v>10129218.75</v>
      </c>
      <c r="I338" s="96" t="s">
        <v>105</v>
      </c>
      <c r="J338" s="125">
        <f>(5*(D338)*(E338)^4)/(384*1000*(G338)*(H338))*1000000000*2</f>
        <v>0.94018448382458375</v>
      </c>
      <c r="K338" s="95" t="s">
        <v>104</v>
      </c>
    </row>
    <row r="339" spans="2:11">
      <c r="B339" s="243"/>
      <c r="C339" s="252"/>
      <c r="D339" s="199" t="s">
        <v>71</v>
      </c>
      <c r="E339" s="203" t="s">
        <v>92</v>
      </c>
      <c r="F339" s="245"/>
      <c r="G339" s="19" t="s">
        <v>37</v>
      </c>
      <c r="H339" s="251" t="s">
        <v>40</v>
      </c>
      <c r="I339" s="252" t="s">
        <v>66</v>
      </c>
      <c r="J339" s="245"/>
      <c r="K339" s="246"/>
    </row>
    <row r="340" spans="2:11">
      <c r="B340" s="243"/>
      <c r="C340" s="244"/>
      <c r="D340" s="245"/>
      <c r="E340" s="245"/>
      <c r="F340" s="245"/>
      <c r="G340" s="245"/>
      <c r="H340" s="245"/>
      <c r="I340" s="245"/>
      <c r="J340" s="248"/>
      <c r="K340" s="246"/>
    </row>
    <row r="341" spans="2:11">
      <c r="B341" s="68" t="s">
        <v>143</v>
      </c>
      <c r="C341" s="1008" t="s">
        <v>611</v>
      </c>
      <c r="D341" s="196">
        <f>G43</f>
        <v>496.86</v>
      </c>
      <c r="E341" s="286">
        <f>D43</f>
        <v>0.91</v>
      </c>
      <c r="F341" s="41" t="s">
        <v>164</v>
      </c>
      <c r="G341" s="161">
        <f>(E341)</f>
        <v>0.91</v>
      </c>
      <c r="H341" s="96" t="s">
        <v>173</v>
      </c>
      <c r="I341" s="162">
        <f>data!F20</f>
        <v>7.2972799999999998</v>
      </c>
      <c r="J341" s="163">
        <f>E54</f>
        <v>10129218.75</v>
      </c>
      <c r="K341" s="246"/>
    </row>
    <row r="342" spans="2:11">
      <c r="B342" s="68"/>
      <c r="C342" s="244"/>
      <c r="D342" s="202" t="s">
        <v>71</v>
      </c>
      <c r="E342" s="41"/>
      <c r="F342" s="41"/>
      <c r="G342" s="41"/>
      <c r="H342" s="41"/>
      <c r="I342" s="19" t="s">
        <v>37</v>
      </c>
      <c r="J342" s="203" t="s">
        <v>40</v>
      </c>
      <c r="K342" s="246"/>
    </row>
    <row r="343" spans="2:11">
      <c r="B343" s="243"/>
      <c r="C343" s="244"/>
      <c r="D343" s="164">
        <f>F10</f>
        <v>1.82</v>
      </c>
      <c r="E343" s="1197" t="s">
        <v>105</v>
      </c>
      <c r="F343" s="1197"/>
      <c r="G343" s="125">
        <f>((D341)*(E341)*((F10)*(F10)-(G341)*(G341))^(3/2))/(9*3^(0.5)*(I341)*1000*(J341)*(D343))*1000000000*2</f>
        <v>1.6884958454332251</v>
      </c>
      <c r="H343" s="81" t="s">
        <v>104</v>
      </c>
      <c r="I343" s="41"/>
      <c r="J343" s="19"/>
      <c r="K343" s="246"/>
    </row>
    <row r="344" spans="2:11">
      <c r="B344" s="243"/>
      <c r="C344" s="244"/>
      <c r="D344" s="203" t="s">
        <v>92</v>
      </c>
      <c r="E344" s="245"/>
      <c r="F344" s="252" t="s">
        <v>66</v>
      </c>
      <c r="G344" s="245"/>
      <c r="H344" s="245"/>
      <c r="I344" s="245"/>
      <c r="J344" s="248"/>
      <c r="K344" s="246"/>
    </row>
    <row r="345" spans="2:11">
      <c r="B345" s="243"/>
      <c r="C345" s="1008" t="s">
        <v>612</v>
      </c>
      <c r="D345" s="196">
        <f>(G48)</f>
        <v>496.86</v>
      </c>
      <c r="E345" s="289">
        <f>G96</f>
        <v>1.82</v>
      </c>
      <c r="F345" s="41" t="s">
        <v>164</v>
      </c>
      <c r="G345" s="289">
        <f>(G96)</f>
        <v>1.82</v>
      </c>
      <c r="H345" s="96" t="s">
        <v>173</v>
      </c>
      <c r="I345" s="299">
        <f>data!F20</f>
        <v>7.2972799999999998</v>
      </c>
      <c r="J345" s="163">
        <f>E54</f>
        <v>10129218.75</v>
      </c>
      <c r="K345" s="246"/>
    </row>
    <row r="346" spans="2:11">
      <c r="B346" s="243"/>
      <c r="C346" s="37"/>
      <c r="D346" s="202" t="s">
        <v>71</v>
      </c>
      <c r="E346" s="81"/>
      <c r="F346" s="41"/>
      <c r="G346" s="41"/>
      <c r="H346" s="41"/>
      <c r="I346" s="19" t="s">
        <v>37</v>
      </c>
      <c r="J346" s="203" t="s">
        <v>40</v>
      </c>
      <c r="K346" s="246"/>
    </row>
    <row r="347" spans="2:11">
      <c r="B347" s="243"/>
      <c r="C347" s="244"/>
      <c r="D347" s="165">
        <f>F10</f>
        <v>1.82</v>
      </c>
      <c r="E347" s="1197" t="s">
        <v>105</v>
      </c>
      <c r="F347" s="1197"/>
      <c r="G347" s="218">
        <f>((D345)*(E345)*((F10)^2-(G345)^2)^(3/2)/(9*3^(1/2)*(I345)*1000*(J345)*(D347))*1000000000*2)</f>
        <v>0</v>
      </c>
      <c r="H347" s="81" t="s">
        <v>104</v>
      </c>
      <c r="I347" s="41"/>
      <c r="J347" s="19"/>
      <c r="K347" s="246"/>
    </row>
    <row r="348" spans="2:11">
      <c r="B348" s="243"/>
      <c r="C348" s="244"/>
      <c r="D348" s="203" t="s">
        <v>92</v>
      </c>
      <c r="E348" s="245"/>
      <c r="F348" s="252" t="s">
        <v>66</v>
      </c>
      <c r="G348" s="245"/>
      <c r="H348" s="252"/>
      <c r="I348" s="245"/>
      <c r="J348" s="248"/>
      <c r="K348" s="246"/>
    </row>
    <row r="349" spans="2:11">
      <c r="B349" s="243"/>
      <c r="C349" s="37" t="s">
        <v>165</v>
      </c>
      <c r="D349" s="218">
        <f>(J338)+(G343)*2</f>
        <v>4.317176174691034</v>
      </c>
      <c r="E349" s="84" t="s">
        <v>104</v>
      </c>
      <c r="F349" s="472" t="s">
        <v>267</v>
      </c>
      <c r="G349" s="245"/>
      <c r="H349" s="245"/>
      <c r="I349" s="245"/>
      <c r="J349" s="248"/>
      <c r="K349" s="246"/>
    </row>
    <row r="350" spans="2:11">
      <c r="B350" s="243"/>
      <c r="C350" s="37"/>
      <c r="D350" s="245"/>
      <c r="E350" s="252"/>
      <c r="F350" s="245"/>
      <c r="G350" s="245"/>
      <c r="H350" s="245"/>
      <c r="I350" s="245"/>
      <c r="J350" s="248"/>
      <c r="K350" s="246"/>
    </row>
    <row r="351" spans="2:11" ht="14.25" thickBot="1">
      <c r="B351" s="243"/>
      <c r="C351" s="219" t="s">
        <v>94</v>
      </c>
      <c r="D351" s="97" t="s">
        <v>68</v>
      </c>
      <c r="E351" s="125">
        <f>1000*(F10)/150</f>
        <v>12.133333333333333</v>
      </c>
      <c r="F351" s="92" t="s">
        <v>248</v>
      </c>
      <c r="G351" s="248"/>
      <c r="H351" s="248"/>
      <c r="I351" s="248"/>
      <c r="J351" s="175" t="s">
        <v>322</v>
      </c>
      <c r="K351" s="619" t="str">
        <f>IF(D349&lt;=E351,"◯","×")</f>
        <v>◯</v>
      </c>
    </row>
    <row r="352" spans="2:11">
      <c r="B352" s="243"/>
      <c r="C352" s="269"/>
      <c r="D352" s="257"/>
      <c r="E352" s="257"/>
      <c r="F352" s="257"/>
      <c r="G352" s="257"/>
      <c r="H352" s="257"/>
      <c r="I352" s="257"/>
      <c r="J352" s="257"/>
      <c r="K352" s="258"/>
    </row>
    <row r="353" spans="2:12">
      <c r="B353" s="243"/>
      <c r="C353" s="1008" t="s">
        <v>613</v>
      </c>
      <c r="D353" s="196">
        <f>G44</f>
        <v>1561.7966000000001</v>
      </c>
      <c r="E353" s="286">
        <f>D45</f>
        <v>0.91</v>
      </c>
      <c r="F353" s="41" t="s">
        <v>164</v>
      </c>
      <c r="G353" s="161">
        <f>(E353)</f>
        <v>0.91</v>
      </c>
      <c r="H353" s="96" t="s">
        <v>173</v>
      </c>
      <c r="I353" s="162">
        <f>data!F20</f>
        <v>7.2972799999999998</v>
      </c>
      <c r="J353" s="163">
        <f>E54</f>
        <v>10129218.75</v>
      </c>
      <c r="K353" s="246"/>
    </row>
    <row r="354" spans="2:12">
      <c r="B354" s="243"/>
      <c r="C354" s="244"/>
      <c r="D354" s="202" t="s">
        <v>71</v>
      </c>
      <c r="E354" s="41"/>
      <c r="F354" s="41"/>
      <c r="G354" s="41"/>
      <c r="H354" s="41"/>
      <c r="I354" s="19" t="s">
        <v>37</v>
      </c>
      <c r="J354" s="203" t="s">
        <v>40</v>
      </c>
      <c r="K354" s="246"/>
    </row>
    <row r="355" spans="2:12">
      <c r="B355" s="243"/>
      <c r="C355" s="244"/>
      <c r="D355" s="164">
        <f>F10</f>
        <v>1.82</v>
      </c>
      <c r="E355" s="1197" t="s">
        <v>105</v>
      </c>
      <c r="F355" s="1197"/>
      <c r="G355" s="125">
        <f>((D353)*(E353)*((F10)*(F10)-(G353)*(G353))^(3/2))/(9*3^(0.5)*(I353)*1000*(J353)*(D355))*1000000000*2</f>
        <v>5.3075052741451048</v>
      </c>
      <c r="H355" s="81" t="s">
        <v>104</v>
      </c>
      <c r="I355" s="41"/>
      <c r="J355" s="19"/>
      <c r="K355" s="246"/>
    </row>
    <row r="356" spans="2:12">
      <c r="B356" s="243"/>
      <c r="C356" s="244"/>
      <c r="D356" s="203" t="s">
        <v>92</v>
      </c>
      <c r="E356" s="245"/>
      <c r="F356" s="252" t="s">
        <v>66</v>
      </c>
      <c r="G356" s="245"/>
      <c r="H356" s="245"/>
      <c r="I356" s="245"/>
      <c r="J356" s="248"/>
      <c r="K356" s="246"/>
    </row>
    <row r="357" spans="2:12">
      <c r="B357" s="243"/>
      <c r="C357" s="1008" t="s">
        <v>614</v>
      </c>
      <c r="D357" s="196">
        <f>G44</f>
        <v>1561.7966000000001</v>
      </c>
      <c r="E357" s="289">
        <f>G108</f>
        <v>1.82</v>
      </c>
      <c r="F357" s="41" t="s">
        <v>164</v>
      </c>
      <c r="G357" s="161">
        <f>(G108)</f>
        <v>1.82</v>
      </c>
      <c r="H357" s="96" t="s">
        <v>173</v>
      </c>
      <c r="I357" s="162">
        <f>data!F20</f>
        <v>7.2972799999999998</v>
      </c>
      <c r="J357" s="163">
        <f>E54</f>
        <v>10129218.75</v>
      </c>
      <c r="K357" s="246"/>
    </row>
    <row r="358" spans="2:12">
      <c r="B358" s="243"/>
      <c r="C358" s="244"/>
      <c r="D358" s="199" t="s">
        <v>71</v>
      </c>
      <c r="E358" s="252"/>
      <c r="F358" s="245"/>
      <c r="G358" s="245"/>
      <c r="H358" s="245"/>
      <c r="I358" s="19" t="s">
        <v>37</v>
      </c>
      <c r="J358" s="251" t="s">
        <v>40</v>
      </c>
      <c r="K358" s="246"/>
    </row>
    <row r="359" spans="2:12">
      <c r="B359" s="243"/>
      <c r="C359" s="244"/>
      <c r="D359" s="290">
        <f>F10</f>
        <v>1.82</v>
      </c>
      <c r="E359" s="1278" t="s">
        <v>105</v>
      </c>
      <c r="F359" s="1197"/>
      <c r="G359" s="92">
        <f>((D357)*(E357)*((F10)^2-(G357)^2)^(3/2)/(9*3^(1/2)*(I357)*1000*(J357)*(D359))*1000000000*2)</f>
        <v>0</v>
      </c>
      <c r="H359" s="84" t="s">
        <v>104</v>
      </c>
      <c r="I359" s="245"/>
      <c r="J359" s="248"/>
      <c r="K359" s="246"/>
    </row>
    <row r="360" spans="2:12">
      <c r="B360" s="243"/>
      <c r="C360" s="244"/>
      <c r="D360" s="203" t="s">
        <v>92</v>
      </c>
      <c r="E360" s="245"/>
      <c r="F360" s="252" t="s">
        <v>66</v>
      </c>
      <c r="G360" s="245"/>
      <c r="H360" s="252"/>
      <c r="I360" s="245"/>
      <c r="J360" s="248"/>
      <c r="K360" s="246"/>
    </row>
    <row r="361" spans="2:12">
      <c r="B361" s="243"/>
      <c r="C361" s="37" t="s">
        <v>165</v>
      </c>
      <c r="D361" s="218">
        <f>(J338)+(G355)*2</f>
        <v>11.555195032114794</v>
      </c>
      <c r="E361" s="84" t="s">
        <v>104</v>
      </c>
      <c r="F361" s="851" t="s">
        <v>228</v>
      </c>
      <c r="G361" s="245"/>
      <c r="H361" s="245"/>
      <c r="I361" s="245"/>
      <c r="J361" s="245"/>
      <c r="K361" s="246"/>
    </row>
    <row r="362" spans="2:12">
      <c r="B362" s="243"/>
      <c r="C362" s="37"/>
      <c r="D362" s="245"/>
      <c r="E362" s="252"/>
      <c r="F362" s="245"/>
      <c r="G362" s="245"/>
      <c r="H362" s="245"/>
      <c r="I362" s="245"/>
      <c r="J362" s="245"/>
      <c r="K362" s="246"/>
    </row>
    <row r="363" spans="2:12" ht="14.25" thickBot="1">
      <c r="B363" s="243"/>
      <c r="C363" s="219" t="s">
        <v>94</v>
      </c>
      <c r="D363" s="97" t="s">
        <v>68</v>
      </c>
      <c r="E363" s="125">
        <f>1000*(F10)/150</f>
        <v>12.133333333333333</v>
      </c>
      <c r="F363" s="92" t="s">
        <v>248</v>
      </c>
      <c r="G363" s="52" t="s">
        <v>296</v>
      </c>
      <c r="H363" s="245"/>
      <c r="I363" s="245"/>
      <c r="J363" s="25" t="s">
        <v>446</v>
      </c>
      <c r="K363" s="619" t="str">
        <f>IF(D361&lt;=E363,"◯","×")</f>
        <v>◯</v>
      </c>
      <c r="L363" s="175" t="s">
        <v>322</v>
      </c>
    </row>
    <row r="364" spans="2:12" ht="15" thickTop="1" thickBot="1">
      <c r="B364" s="243"/>
      <c r="C364" s="96"/>
      <c r="D364" s="97" t="s">
        <v>68</v>
      </c>
      <c r="E364" s="125">
        <f>1000*(F10)/100</f>
        <v>18.2</v>
      </c>
      <c r="F364" s="92" t="s">
        <v>249</v>
      </c>
      <c r="G364" s="52" t="s">
        <v>298</v>
      </c>
      <c r="H364" s="245"/>
      <c r="I364" s="245"/>
      <c r="J364" s="638" t="s">
        <v>447</v>
      </c>
      <c r="K364" s="619" t="str">
        <f>IF(D361&lt;=E364,"◯","×")</f>
        <v>◯</v>
      </c>
      <c r="L364" s="619" t="str">
        <f>IF(K363="◯",IF(K364="◯","◯","×"),"×")</f>
        <v>◯</v>
      </c>
    </row>
    <row r="365" spans="2:12" ht="14.25" thickTop="1">
      <c r="B365" s="243"/>
      <c r="C365" s="244"/>
      <c r="D365" s="245"/>
      <c r="E365" s="245"/>
      <c r="F365" s="245"/>
      <c r="G365" s="245"/>
      <c r="H365" s="245"/>
      <c r="I365" s="245"/>
      <c r="J365" s="245"/>
      <c r="K365" s="256"/>
    </row>
    <row r="366" spans="2:12">
      <c r="B366" s="243"/>
      <c r="C366" s="270"/>
      <c r="D366" s="257"/>
      <c r="E366" s="257"/>
      <c r="F366" s="257"/>
      <c r="G366" s="257"/>
      <c r="H366" s="257"/>
      <c r="I366" s="257"/>
      <c r="J366" s="257"/>
      <c r="K366" s="258"/>
    </row>
    <row r="367" spans="2:12">
      <c r="B367" s="243"/>
      <c r="C367" s="1008" t="s">
        <v>615</v>
      </c>
      <c r="D367" s="196">
        <f>G45</f>
        <v>2017.2516000000003</v>
      </c>
      <c r="E367" s="286">
        <f>D45</f>
        <v>0.91</v>
      </c>
      <c r="F367" s="41" t="s">
        <v>164</v>
      </c>
      <c r="G367" s="161">
        <f>(E367)</f>
        <v>0.91</v>
      </c>
      <c r="H367" s="96" t="s">
        <v>173</v>
      </c>
      <c r="I367" s="162">
        <f>data!F20</f>
        <v>7.2972799999999998</v>
      </c>
      <c r="J367" s="163">
        <f>E54</f>
        <v>10129218.75</v>
      </c>
      <c r="K367" s="246"/>
    </row>
    <row r="368" spans="2:12">
      <c r="B368" s="243"/>
      <c r="C368" s="244"/>
      <c r="D368" s="202" t="s">
        <v>71</v>
      </c>
      <c r="E368" s="41"/>
      <c r="F368" s="41"/>
      <c r="G368" s="41"/>
      <c r="H368" s="41"/>
      <c r="I368" s="19" t="s">
        <v>37</v>
      </c>
      <c r="J368" s="203" t="s">
        <v>40</v>
      </c>
      <c r="K368" s="246"/>
    </row>
    <row r="369" spans="2:12">
      <c r="B369" s="243"/>
      <c r="C369" s="244"/>
      <c r="D369" s="164">
        <f>F10</f>
        <v>1.82</v>
      </c>
      <c r="E369" s="1197" t="s">
        <v>105</v>
      </c>
      <c r="F369" s="1197"/>
      <c r="G369" s="125">
        <f>((D367)*(E367)*((F10)*(F10)-(G367)*(G367))^(3/2))/(9*3^(0.5)*(I367)*1000*(J367)*(D369))*1000000000*2</f>
        <v>6.8552931324588959</v>
      </c>
      <c r="H369" s="81" t="s">
        <v>104</v>
      </c>
      <c r="I369" s="41"/>
      <c r="J369" s="19"/>
      <c r="K369" s="246"/>
    </row>
    <row r="370" spans="2:12">
      <c r="B370" s="243"/>
      <c r="C370" s="244"/>
      <c r="D370" s="203" t="s">
        <v>92</v>
      </c>
      <c r="E370" s="245"/>
      <c r="F370" s="252" t="s">
        <v>66</v>
      </c>
      <c r="G370" s="245"/>
      <c r="H370" s="245"/>
      <c r="I370" s="245"/>
      <c r="J370" s="248"/>
      <c r="K370" s="246"/>
    </row>
    <row r="371" spans="2:12">
      <c r="B371" s="243"/>
      <c r="C371" s="1008" t="s">
        <v>616</v>
      </c>
      <c r="D371" s="196">
        <f>G45</f>
        <v>2017.2516000000003</v>
      </c>
      <c r="E371" s="289">
        <f>G122</f>
        <v>1.82</v>
      </c>
      <c r="F371" s="41" t="s">
        <v>164</v>
      </c>
      <c r="G371" s="289">
        <f>(G122)</f>
        <v>1.82</v>
      </c>
      <c r="H371" s="96" t="s">
        <v>173</v>
      </c>
      <c r="I371" s="299">
        <f>data!F20</f>
        <v>7.2972799999999998</v>
      </c>
      <c r="J371" s="163">
        <f>E54</f>
        <v>10129218.75</v>
      </c>
      <c r="K371" s="246"/>
    </row>
    <row r="372" spans="2:12">
      <c r="B372" s="243"/>
      <c r="C372" s="244"/>
      <c r="D372" s="202" t="s">
        <v>71</v>
      </c>
      <c r="E372" s="81"/>
      <c r="F372" s="41"/>
      <c r="G372" s="41"/>
      <c r="H372" s="41"/>
      <c r="I372" s="19" t="s">
        <v>37</v>
      </c>
      <c r="J372" s="203" t="s">
        <v>40</v>
      </c>
      <c r="K372" s="246"/>
    </row>
    <row r="373" spans="2:12">
      <c r="B373" s="243"/>
      <c r="C373" s="244"/>
      <c r="D373" s="165">
        <f>F10</f>
        <v>1.82</v>
      </c>
      <c r="E373" s="1197" t="s">
        <v>105</v>
      </c>
      <c r="F373" s="1197"/>
      <c r="G373" s="41">
        <f>((D371)*(E371)*((F10)^2-(G371)^2)^(3/2)/(9*3^(1/2)*(I371)*1000*(J371)*(D373))*1000000000*2)</f>
        <v>0</v>
      </c>
      <c r="H373" s="81" t="s">
        <v>104</v>
      </c>
      <c r="I373" s="41"/>
      <c r="J373" s="19"/>
      <c r="K373" s="246"/>
    </row>
    <row r="374" spans="2:12">
      <c r="B374" s="243"/>
      <c r="C374" s="244"/>
      <c r="D374" s="203" t="s">
        <v>92</v>
      </c>
      <c r="E374" s="245"/>
      <c r="F374" s="252" t="s">
        <v>66</v>
      </c>
      <c r="G374" s="245"/>
      <c r="H374" s="245"/>
      <c r="I374" s="245"/>
      <c r="J374" s="248"/>
      <c r="K374" s="246"/>
    </row>
    <row r="375" spans="2:12">
      <c r="B375" s="243"/>
      <c r="C375" s="37" t="s">
        <v>165</v>
      </c>
      <c r="D375" s="218">
        <f>(J352)+(G369)*2</f>
        <v>13.710586264917792</v>
      </c>
      <c r="E375" s="84" t="s">
        <v>104</v>
      </c>
      <c r="F375" s="851" t="s">
        <v>229</v>
      </c>
      <c r="G375" s="245"/>
      <c r="H375" s="245"/>
      <c r="I375" s="245"/>
      <c r="J375" s="245"/>
      <c r="K375" s="246"/>
    </row>
    <row r="376" spans="2:12">
      <c r="B376" s="243"/>
      <c r="C376" s="37"/>
      <c r="D376" s="245"/>
      <c r="E376" s="252"/>
      <c r="F376" s="245"/>
      <c r="G376" s="245"/>
      <c r="H376" s="245"/>
      <c r="I376" s="245"/>
      <c r="J376" s="245"/>
      <c r="K376" s="246"/>
    </row>
    <row r="377" spans="2:12" ht="14.25" thickBot="1">
      <c r="B377" s="243"/>
      <c r="C377" s="219" t="s">
        <v>94</v>
      </c>
      <c r="D377" s="97" t="s">
        <v>68</v>
      </c>
      <c r="E377" s="125">
        <f>1000*(F10)/150</f>
        <v>12.133333333333333</v>
      </c>
      <c r="F377" s="92" t="s">
        <v>248</v>
      </c>
      <c r="G377" s="52" t="s">
        <v>296</v>
      </c>
      <c r="H377" s="245"/>
      <c r="I377" s="245"/>
      <c r="J377" s="25" t="s">
        <v>446</v>
      </c>
      <c r="K377" s="619" t="str">
        <f>IF(D375&lt;=E377,"◯","×")</f>
        <v>×</v>
      </c>
      <c r="L377" s="175" t="s">
        <v>322</v>
      </c>
    </row>
    <row r="378" spans="2:12" ht="15" thickTop="1" thickBot="1">
      <c r="B378" s="243"/>
      <c r="C378" s="96"/>
      <c r="D378" s="97" t="s">
        <v>68</v>
      </c>
      <c r="E378" s="125">
        <f>1000*(F10)/100</f>
        <v>18.2</v>
      </c>
      <c r="F378" s="92" t="s">
        <v>249</v>
      </c>
      <c r="G378" s="52" t="s">
        <v>298</v>
      </c>
      <c r="H378" s="245"/>
      <c r="I378" s="245"/>
      <c r="J378" s="638" t="s">
        <v>447</v>
      </c>
      <c r="K378" s="619" t="str">
        <f>IF(D375&lt;=E378,"◯","×")</f>
        <v>◯</v>
      </c>
      <c r="L378" s="619" t="str">
        <f>IF(K377="◯",IF(K378="◯","◯","×"),"×")</f>
        <v>×</v>
      </c>
    </row>
    <row r="379" spans="2:12" ht="14.25" thickTop="1">
      <c r="B379" s="243"/>
      <c r="C379" s="244"/>
      <c r="D379" s="245"/>
      <c r="E379" s="245"/>
      <c r="F379" s="245"/>
      <c r="G379" s="245"/>
      <c r="H379" s="245"/>
      <c r="I379" s="245"/>
      <c r="J379" s="245"/>
      <c r="K379" s="256"/>
    </row>
    <row r="380" spans="2:12">
      <c r="B380" s="63" t="s">
        <v>269</v>
      </c>
      <c r="C380" s="270"/>
      <c r="D380" s="257"/>
      <c r="E380" s="257"/>
      <c r="F380" s="257"/>
      <c r="G380" s="257"/>
      <c r="H380" s="257"/>
      <c r="I380" s="257"/>
      <c r="J380" s="257"/>
      <c r="K380" s="258"/>
    </row>
    <row r="381" spans="2:12">
      <c r="B381" s="466" t="s">
        <v>221</v>
      </c>
      <c r="C381" s="529" t="s">
        <v>64</v>
      </c>
      <c r="D381" s="196">
        <f>E26</f>
        <v>243.21800000000002</v>
      </c>
      <c r="E381" s="213">
        <f>(F10)</f>
        <v>1.82</v>
      </c>
      <c r="F381" s="41" t="s">
        <v>162</v>
      </c>
      <c r="G381" s="162">
        <f>data!F20</f>
        <v>7.2972799999999998</v>
      </c>
      <c r="H381" s="124">
        <f>E54</f>
        <v>10129218.75</v>
      </c>
      <c r="I381" s="96" t="s">
        <v>105</v>
      </c>
      <c r="J381" s="125">
        <f>(5*(D381)*(E381)^4)/(384*1000*(G381)*(H381))*1000000000*2</f>
        <v>0.94018448382458375</v>
      </c>
      <c r="K381" s="95" t="s">
        <v>104</v>
      </c>
    </row>
    <row r="382" spans="2:12">
      <c r="B382" s="243"/>
      <c r="C382" s="252"/>
      <c r="D382" s="199" t="s">
        <v>71</v>
      </c>
      <c r="E382" s="203" t="s">
        <v>92</v>
      </c>
      <c r="F382" s="245"/>
      <c r="G382" s="19" t="s">
        <v>37</v>
      </c>
      <c r="H382" s="251" t="s">
        <v>40</v>
      </c>
      <c r="I382" s="252" t="s">
        <v>66</v>
      </c>
      <c r="J382" s="245"/>
      <c r="K382" s="246"/>
    </row>
    <row r="383" spans="2:12">
      <c r="B383" s="243"/>
      <c r="C383" s="244"/>
      <c r="D383" s="245"/>
      <c r="E383" s="245"/>
      <c r="F383" s="245"/>
      <c r="G383" s="245"/>
      <c r="H383" s="245"/>
      <c r="I383" s="245"/>
      <c r="J383" s="245"/>
      <c r="K383" s="246"/>
    </row>
    <row r="384" spans="2:12">
      <c r="B384" s="243" t="s">
        <v>306</v>
      </c>
      <c r="C384" s="529" t="s">
        <v>64</v>
      </c>
      <c r="D384" s="196">
        <f>E28</f>
        <v>818.99999999999989</v>
      </c>
      <c r="E384" s="213">
        <f>(F10)</f>
        <v>1.82</v>
      </c>
      <c r="F384" s="41" t="s">
        <v>162</v>
      </c>
      <c r="G384" s="162">
        <f>data!F20</f>
        <v>7.2972799999999998</v>
      </c>
      <c r="H384" s="124">
        <f>E54</f>
        <v>10129218.75</v>
      </c>
      <c r="I384" s="96" t="s">
        <v>105</v>
      </c>
      <c r="J384" s="125">
        <f>(5*(D384)*(E384)^4)/(384*1000*(G384)*(H384))*1000000000*2</f>
        <v>3.1659297101872972</v>
      </c>
      <c r="K384" s="95" t="s">
        <v>104</v>
      </c>
    </row>
    <row r="385" spans="2:12">
      <c r="B385" s="243"/>
      <c r="C385" s="244"/>
      <c r="D385" s="199" t="s">
        <v>71</v>
      </c>
      <c r="E385" s="203" t="s">
        <v>92</v>
      </c>
      <c r="F385" s="245"/>
      <c r="G385" s="19" t="s">
        <v>37</v>
      </c>
      <c r="H385" s="251" t="s">
        <v>40</v>
      </c>
      <c r="I385" s="252" t="s">
        <v>66</v>
      </c>
      <c r="J385" s="245"/>
      <c r="K385" s="246"/>
    </row>
    <row r="386" spans="2:12">
      <c r="B386" s="243"/>
      <c r="C386" s="244"/>
      <c r="D386" s="245"/>
      <c r="E386" s="245"/>
      <c r="F386" s="245"/>
      <c r="G386" s="245"/>
      <c r="H386" s="245"/>
      <c r="I386" s="245"/>
      <c r="J386" s="245"/>
      <c r="K386" s="246"/>
    </row>
    <row r="387" spans="2:12">
      <c r="B387" s="243"/>
      <c r="C387" s="37" t="s">
        <v>165</v>
      </c>
      <c r="D387" s="218">
        <f>(J381)+(J384)</f>
        <v>4.106114194011881</v>
      </c>
      <c r="E387" s="84" t="s">
        <v>104</v>
      </c>
      <c r="F387" s="472" t="s">
        <v>267</v>
      </c>
      <c r="G387" s="245"/>
      <c r="H387" s="245"/>
      <c r="I387" s="245"/>
      <c r="J387" s="245"/>
      <c r="K387" s="246"/>
    </row>
    <row r="388" spans="2:12">
      <c r="B388" s="243"/>
      <c r="C388" s="37"/>
      <c r="D388" s="245"/>
      <c r="E388" s="252"/>
      <c r="F388" s="245"/>
      <c r="G388" s="245"/>
      <c r="H388" s="245"/>
      <c r="I388" s="245"/>
      <c r="J388" s="245"/>
      <c r="K388" s="246"/>
    </row>
    <row r="389" spans="2:12" ht="14.25" thickBot="1">
      <c r="B389" s="243"/>
      <c r="C389" s="291" t="s">
        <v>94</v>
      </c>
      <c r="D389" s="292" t="s">
        <v>68</v>
      </c>
      <c r="E389" s="295">
        <f>1000*(F10)/150</f>
        <v>12.133333333333333</v>
      </c>
      <c r="F389" s="293" t="s">
        <v>248</v>
      </c>
      <c r="G389" s="69" t="s">
        <v>296</v>
      </c>
      <c r="H389" s="271"/>
      <c r="I389" s="271"/>
      <c r="J389" s="175" t="s">
        <v>322</v>
      </c>
      <c r="K389" s="619" t="str">
        <f>IF(D387&lt;=E389,"◯","×")</f>
        <v>◯</v>
      </c>
    </row>
    <row r="390" spans="2:12">
      <c r="B390" s="243"/>
      <c r="C390" s="244"/>
      <c r="D390" s="245"/>
      <c r="E390" s="245"/>
      <c r="F390" s="245"/>
      <c r="G390" s="245"/>
      <c r="H390" s="245"/>
      <c r="I390" s="245"/>
      <c r="J390" s="245"/>
      <c r="K390" s="246"/>
    </row>
    <row r="391" spans="2:12">
      <c r="B391" s="243"/>
      <c r="C391" s="529" t="s">
        <v>64</v>
      </c>
      <c r="D391" s="196">
        <f>E29</f>
        <v>2574.3900000000003</v>
      </c>
      <c r="E391" s="213">
        <f>(F10)</f>
        <v>1.82</v>
      </c>
      <c r="F391" s="41" t="s">
        <v>162</v>
      </c>
      <c r="G391" s="162">
        <f>data!F20</f>
        <v>7.2972799999999998</v>
      </c>
      <c r="H391" s="124">
        <f>E54</f>
        <v>10129218.75</v>
      </c>
      <c r="I391" s="96" t="s">
        <v>105</v>
      </c>
      <c r="J391" s="125">
        <f>(5*(D391)*(E391)^4)/(384*1000*(G391)*(H391))*1000000000*2</f>
        <v>9.9515723890220702</v>
      </c>
      <c r="K391" s="95" t="s">
        <v>104</v>
      </c>
    </row>
    <row r="392" spans="2:12">
      <c r="B392" s="243"/>
      <c r="C392" s="244"/>
      <c r="D392" s="199" t="s">
        <v>71</v>
      </c>
      <c r="E392" s="203" t="s">
        <v>92</v>
      </c>
      <c r="F392" s="245"/>
      <c r="G392" s="19" t="s">
        <v>37</v>
      </c>
      <c r="H392" s="251" t="s">
        <v>40</v>
      </c>
      <c r="I392" s="252" t="s">
        <v>66</v>
      </c>
      <c r="J392" s="245"/>
      <c r="K392" s="246"/>
    </row>
    <row r="393" spans="2:12">
      <c r="B393" s="243"/>
      <c r="C393" s="37" t="s">
        <v>165</v>
      </c>
      <c r="D393" s="218">
        <f>(J381)+(J391)</f>
        <v>10.891756872846655</v>
      </c>
      <c r="E393" s="84" t="s">
        <v>104</v>
      </c>
      <c r="F393" s="851" t="s">
        <v>228</v>
      </c>
      <c r="G393" s="245"/>
      <c r="H393" s="245"/>
      <c r="I393" s="245"/>
      <c r="J393" s="245"/>
      <c r="K393" s="246"/>
    </row>
    <row r="394" spans="2:12">
      <c r="B394" s="243"/>
      <c r="C394" s="37"/>
      <c r="D394" s="245"/>
      <c r="E394" s="252"/>
      <c r="F394" s="245"/>
      <c r="G394" s="245"/>
      <c r="H394" s="245"/>
      <c r="I394" s="245"/>
      <c r="J394" s="245"/>
      <c r="K394" s="246"/>
    </row>
    <row r="395" spans="2:12" ht="14.25" thickBot="1">
      <c r="B395" s="243"/>
      <c r="C395" s="219" t="s">
        <v>94</v>
      </c>
      <c r="D395" s="97" t="s">
        <v>68</v>
      </c>
      <c r="E395" s="125">
        <f>1000*(F10)/150</f>
        <v>12.133333333333333</v>
      </c>
      <c r="F395" s="92" t="s">
        <v>248</v>
      </c>
      <c r="G395" s="52" t="s">
        <v>296</v>
      </c>
      <c r="H395" s="245"/>
      <c r="I395" s="245"/>
      <c r="J395" s="25" t="s">
        <v>446</v>
      </c>
      <c r="K395" s="619" t="str">
        <f>IF(D393&lt;=E395,"◯","×")</f>
        <v>◯</v>
      </c>
      <c r="L395" s="175" t="s">
        <v>322</v>
      </c>
    </row>
    <row r="396" spans="2:12" ht="15" thickTop="1" thickBot="1">
      <c r="B396" s="243"/>
      <c r="C396" s="96"/>
      <c r="D396" s="97" t="s">
        <v>68</v>
      </c>
      <c r="E396" s="125">
        <f>1000*(F10)/100</f>
        <v>18.2</v>
      </c>
      <c r="F396" s="92" t="s">
        <v>249</v>
      </c>
      <c r="G396" s="52" t="s">
        <v>298</v>
      </c>
      <c r="H396" s="245"/>
      <c r="I396" s="245"/>
      <c r="J396" s="638" t="s">
        <v>447</v>
      </c>
      <c r="K396" s="619" t="str">
        <f>IF(D393&lt;=E396,"◯","×")</f>
        <v>◯</v>
      </c>
      <c r="L396" s="619" t="str">
        <f>IF(K395="◯",IF(K396="◯","◯","×"),"×")</f>
        <v>◯</v>
      </c>
    </row>
    <row r="397" spans="2:12" ht="14.25" thickTop="1">
      <c r="B397" s="243"/>
      <c r="C397" s="269"/>
      <c r="D397" s="257"/>
      <c r="E397" s="257"/>
      <c r="F397" s="257"/>
      <c r="G397" s="257"/>
      <c r="H397" s="257"/>
      <c r="I397" s="257"/>
      <c r="J397" s="257"/>
      <c r="K397" s="258"/>
    </row>
    <row r="398" spans="2:12">
      <c r="B398" s="243"/>
      <c r="C398" s="1006" t="s">
        <v>617</v>
      </c>
      <c r="D398" s="196">
        <f>E30</f>
        <v>3325.1400000000003</v>
      </c>
      <c r="E398" s="213">
        <f>(F10)</f>
        <v>1.82</v>
      </c>
      <c r="F398" s="41" t="s">
        <v>162</v>
      </c>
      <c r="G398" s="162">
        <f>data!F20</f>
        <v>7.2972799999999998</v>
      </c>
      <c r="H398" s="124">
        <f>E54</f>
        <v>10129218.75</v>
      </c>
      <c r="I398" s="96" t="s">
        <v>105</v>
      </c>
      <c r="J398" s="125">
        <f>(5*(D398)*(E398)^4)/(384*1000*(G398)*(H398))*1000000000*2</f>
        <v>12.853674623360426</v>
      </c>
      <c r="K398" s="95" t="s">
        <v>104</v>
      </c>
    </row>
    <row r="399" spans="2:12">
      <c r="B399" s="243"/>
      <c r="C399" s="244"/>
      <c r="D399" s="199" t="s">
        <v>71</v>
      </c>
      <c r="E399" s="203" t="s">
        <v>92</v>
      </c>
      <c r="F399" s="245"/>
      <c r="G399" s="19" t="s">
        <v>37</v>
      </c>
      <c r="H399" s="251" t="s">
        <v>40</v>
      </c>
      <c r="I399" s="252" t="s">
        <v>66</v>
      </c>
      <c r="J399" s="245"/>
      <c r="K399" s="246"/>
    </row>
    <row r="400" spans="2:12">
      <c r="B400" s="243"/>
      <c r="C400" s="37" t="s">
        <v>165</v>
      </c>
      <c r="D400" s="218">
        <f>(J381)+(J398)</f>
        <v>13.793859107185011</v>
      </c>
      <c r="E400" s="84" t="s">
        <v>104</v>
      </c>
      <c r="F400" s="851" t="s">
        <v>229</v>
      </c>
      <c r="G400" s="245"/>
      <c r="H400" s="245"/>
      <c r="I400" s="245"/>
      <c r="J400" s="245"/>
      <c r="K400" s="246"/>
    </row>
    <row r="401" spans="2:12">
      <c r="B401" s="243"/>
      <c r="C401" s="37"/>
      <c r="D401" s="245"/>
      <c r="E401" s="252"/>
      <c r="F401" s="245"/>
      <c r="G401" s="245"/>
      <c r="H401" s="245"/>
      <c r="I401" s="245"/>
      <c r="J401" s="245"/>
      <c r="K401" s="246"/>
    </row>
    <row r="402" spans="2:12" ht="14.25" thickBot="1">
      <c r="B402" s="243"/>
      <c r="C402" s="219" t="s">
        <v>94</v>
      </c>
      <c r="D402" s="97" t="s">
        <v>68</v>
      </c>
      <c r="E402" s="125">
        <f>1000*(F10)/150</f>
        <v>12.133333333333333</v>
      </c>
      <c r="F402" s="92" t="s">
        <v>248</v>
      </c>
      <c r="G402" s="52" t="s">
        <v>296</v>
      </c>
      <c r="H402" s="245"/>
      <c r="I402" s="245"/>
      <c r="J402" s="25" t="s">
        <v>446</v>
      </c>
      <c r="K402" s="619" t="str">
        <f>IF(D400&lt;=E402,"◯","×")</f>
        <v>×</v>
      </c>
      <c r="L402" s="175" t="s">
        <v>322</v>
      </c>
    </row>
    <row r="403" spans="2:12" ht="15" thickTop="1" thickBot="1">
      <c r="B403" s="243"/>
      <c r="C403" s="294"/>
      <c r="D403" s="292" t="s">
        <v>68</v>
      </c>
      <c r="E403" s="295">
        <f>1000*(F10)/100</f>
        <v>18.2</v>
      </c>
      <c r="F403" s="293" t="s">
        <v>249</v>
      </c>
      <c r="G403" s="69" t="s">
        <v>298</v>
      </c>
      <c r="H403" s="271"/>
      <c r="I403" s="271"/>
      <c r="J403" s="638" t="s">
        <v>447</v>
      </c>
      <c r="K403" s="619" t="str">
        <f>IF(D400&lt;=E403,"◯","×")</f>
        <v>◯</v>
      </c>
      <c r="L403" s="619" t="str">
        <f>IF(K402="◯",IF(K403="◯","◯","×"),"×")</f>
        <v>×</v>
      </c>
    </row>
    <row r="404" spans="2:12" ht="14.25" thickTop="1">
      <c r="B404" s="63" t="s">
        <v>270</v>
      </c>
      <c r="C404" s="244"/>
      <c r="D404" s="245"/>
      <c r="E404" s="245"/>
      <c r="F404" s="245"/>
      <c r="G404" s="245"/>
      <c r="H404" s="245"/>
      <c r="I404" s="245"/>
      <c r="J404" s="245"/>
      <c r="K404" s="246"/>
    </row>
    <row r="405" spans="2:12">
      <c r="B405" s="466" t="s">
        <v>221</v>
      </c>
      <c r="C405" s="529" t="s">
        <v>64</v>
      </c>
      <c r="D405" s="196">
        <f>E26</f>
        <v>243.21800000000002</v>
      </c>
      <c r="E405" s="213">
        <f>(F10)</f>
        <v>1.82</v>
      </c>
      <c r="F405" s="41" t="s">
        <v>162</v>
      </c>
      <c r="G405" s="162">
        <f>data!F20</f>
        <v>7.2972799999999998</v>
      </c>
      <c r="H405" s="124">
        <f>E54</f>
        <v>10129218.75</v>
      </c>
      <c r="I405" s="96" t="s">
        <v>105</v>
      </c>
      <c r="J405" s="125">
        <f>(5*(D405)*(E405)^4)/(384*1000*(G405)*(H405))*1000000000*2</f>
        <v>0.94018448382458375</v>
      </c>
      <c r="K405" s="95" t="s">
        <v>104</v>
      </c>
    </row>
    <row r="406" spans="2:12">
      <c r="B406" s="243"/>
      <c r="C406" s="252"/>
      <c r="D406" s="199" t="s">
        <v>71</v>
      </c>
      <c r="E406" s="203" t="s">
        <v>92</v>
      </c>
      <c r="F406" s="245"/>
      <c r="G406" s="19" t="s">
        <v>37</v>
      </c>
      <c r="H406" s="251" t="s">
        <v>40</v>
      </c>
      <c r="I406" s="252" t="s">
        <v>66</v>
      </c>
      <c r="J406" s="245"/>
      <c r="K406" s="246"/>
    </row>
    <row r="407" spans="2:12">
      <c r="B407" s="243"/>
      <c r="C407" s="244"/>
      <c r="D407" s="245"/>
      <c r="E407" s="245"/>
      <c r="F407" s="245"/>
      <c r="G407" s="245"/>
      <c r="H407" s="245"/>
      <c r="I407" s="245"/>
      <c r="J407" s="245"/>
      <c r="K407" s="246"/>
    </row>
    <row r="408" spans="2:12">
      <c r="B408" s="243" t="s">
        <v>306</v>
      </c>
      <c r="C408" s="529" t="s">
        <v>64</v>
      </c>
      <c r="D408" s="196">
        <f>E31</f>
        <v>1092</v>
      </c>
      <c r="E408" s="213">
        <f>(F10)</f>
        <v>1.82</v>
      </c>
      <c r="F408" s="41" t="s">
        <v>162</v>
      </c>
      <c r="G408" s="162">
        <f>data!F20</f>
        <v>7.2972799999999998</v>
      </c>
      <c r="H408" s="124">
        <f>E54</f>
        <v>10129218.75</v>
      </c>
      <c r="I408" s="96" t="s">
        <v>105</v>
      </c>
      <c r="J408" s="125">
        <f>(5*(D408)*(E408)^4)/(384*1000*(G408)*(H408))*1000000000*2</f>
        <v>4.2212396135830632</v>
      </c>
      <c r="K408" s="95" t="s">
        <v>104</v>
      </c>
    </row>
    <row r="409" spans="2:12">
      <c r="B409" s="243"/>
      <c r="C409" s="244"/>
      <c r="D409" s="199" t="s">
        <v>71</v>
      </c>
      <c r="E409" s="203" t="s">
        <v>92</v>
      </c>
      <c r="F409" s="245"/>
      <c r="G409" s="19" t="s">
        <v>37</v>
      </c>
      <c r="H409" s="251" t="s">
        <v>40</v>
      </c>
      <c r="I409" s="252" t="s">
        <v>66</v>
      </c>
      <c r="J409" s="245"/>
      <c r="K409" s="246"/>
    </row>
    <row r="410" spans="2:12">
      <c r="B410" s="243"/>
      <c r="C410" s="244"/>
      <c r="D410" s="245"/>
      <c r="E410" s="245"/>
      <c r="F410" s="245"/>
      <c r="G410" s="245"/>
      <c r="H410" s="245"/>
      <c r="I410" s="245"/>
      <c r="J410" s="245"/>
      <c r="K410" s="246"/>
    </row>
    <row r="411" spans="2:12">
      <c r="B411" s="243"/>
      <c r="C411" s="37" t="s">
        <v>165</v>
      </c>
      <c r="D411" s="218">
        <f>(J405)+(J408)</f>
        <v>5.1614240974076466</v>
      </c>
      <c r="E411" s="84" t="s">
        <v>104</v>
      </c>
      <c r="F411" s="472" t="s">
        <v>267</v>
      </c>
      <c r="G411" s="245"/>
      <c r="H411" s="245"/>
      <c r="I411" s="245"/>
      <c r="J411" s="245"/>
      <c r="K411" s="246"/>
    </row>
    <row r="412" spans="2:12">
      <c r="B412" s="243"/>
      <c r="C412" s="37"/>
      <c r="D412" s="245"/>
      <c r="E412" s="252"/>
      <c r="F412" s="245"/>
      <c r="G412" s="245"/>
      <c r="H412" s="245"/>
      <c r="I412" s="245"/>
      <c r="J412" s="245"/>
      <c r="K412" s="246"/>
    </row>
    <row r="413" spans="2:12" ht="14.25" thickBot="1">
      <c r="B413" s="243"/>
      <c r="C413" s="296" t="s">
        <v>94</v>
      </c>
      <c r="D413" s="292" t="s">
        <v>68</v>
      </c>
      <c r="E413" s="295">
        <f>1000*(F10)/150</f>
        <v>12.133333333333333</v>
      </c>
      <c r="F413" s="293" t="s">
        <v>248</v>
      </c>
      <c r="G413" s="69" t="s">
        <v>296</v>
      </c>
      <c r="H413" s="271"/>
      <c r="I413" s="271"/>
      <c r="J413" s="175" t="s">
        <v>322</v>
      </c>
      <c r="K413" s="619" t="str">
        <f>IF(D411&lt;=E413,"◯","×")</f>
        <v>◯</v>
      </c>
    </row>
    <row r="414" spans="2:12">
      <c r="B414" s="243"/>
      <c r="C414" s="244"/>
      <c r="D414" s="245"/>
      <c r="E414" s="245"/>
      <c r="F414" s="245"/>
      <c r="G414" s="245"/>
      <c r="H414" s="245"/>
      <c r="I414" s="245"/>
      <c r="J414" s="245"/>
      <c r="K414" s="246"/>
    </row>
    <row r="415" spans="2:12">
      <c r="B415" s="243"/>
      <c r="C415" s="529" t="s">
        <v>64</v>
      </c>
      <c r="D415" s="196">
        <f>E32</f>
        <v>3432.52</v>
      </c>
      <c r="E415" s="213">
        <f>(F10)</f>
        <v>1.82</v>
      </c>
      <c r="F415" s="41" t="s">
        <v>162</v>
      </c>
      <c r="G415" s="162">
        <f>data!F20</f>
        <v>7.2972799999999998</v>
      </c>
      <c r="H415" s="124">
        <f>E54</f>
        <v>10129218.75</v>
      </c>
      <c r="I415" s="96" t="s">
        <v>105</v>
      </c>
      <c r="J415" s="125">
        <f>(5*(D415)*(E415)^4)/(384*1000*(G415)*(H415))*1000000000*2</f>
        <v>13.26876318536276</v>
      </c>
      <c r="K415" s="95" t="s">
        <v>104</v>
      </c>
    </row>
    <row r="416" spans="2:12">
      <c r="B416" s="243"/>
      <c r="C416" s="244"/>
      <c r="D416" s="199" t="s">
        <v>71</v>
      </c>
      <c r="E416" s="203" t="s">
        <v>92</v>
      </c>
      <c r="F416" s="245"/>
      <c r="G416" s="19" t="s">
        <v>37</v>
      </c>
      <c r="H416" s="251" t="s">
        <v>40</v>
      </c>
      <c r="I416" s="252" t="s">
        <v>66</v>
      </c>
      <c r="J416" s="245"/>
      <c r="K416" s="246"/>
    </row>
    <row r="417" spans="2:12">
      <c r="B417" s="243"/>
      <c r="C417" s="37" t="s">
        <v>165</v>
      </c>
      <c r="D417" s="218">
        <f>(J405)+(J415)</f>
        <v>14.208947669187344</v>
      </c>
      <c r="E417" s="84" t="s">
        <v>104</v>
      </c>
      <c r="F417" s="851" t="s">
        <v>228</v>
      </c>
      <c r="G417" s="245"/>
      <c r="H417" s="245"/>
      <c r="I417" s="245"/>
      <c r="J417" s="245"/>
      <c r="K417" s="246"/>
    </row>
    <row r="418" spans="2:12">
      <c r="B418" s="243"/>
      <c r="C418" s="37"/>
      <c r="D418" s="245"/>
      <c r="E418" s="252"/>
      <c r="F418" s="245"/>
      <c r="G418" s="245"/>
      <c r="H418" s="245"/>
      <c r="I418" s="245"/>
      <c r="J418" s="245"/>
      <c r="K418" s="246"/>
    </row>
    <row r="419" spans="2:12" ht="14.25" thickBot="1">
      <c r="B419" s="243"/>
      <c r="C419" s="219" t="s">
        <v>94</v>
      </c>
      <c r="D419" s="97" t="s">
        <v>68</v>
      </c>
      <c r="E419" s="125">
        <f>1000*(F10)/150</f>
        <v>12.133333333333333</v>
      </c>
      <c r="F419" s="92" t="s">
        <v>248</v>
      </c>
      <c r="G419" s="52" t="s">
        <v>296</v>
      </c>
      <c r="H419" s="245"/>
      <c r="I419" s="245"/>
      <c r="J419" s="25" t="s">
        <v>446</v>
      </c>
      <c r="K419" s="619" t="str">
        <f>IF(D417&lt;=E419,"◯","×")</f>
        <v>×</v>
      </c>
      <c r="L419" s="175" t="s">
        <v>322</v>
      </c>
    </row>
    <row r="420" spans="2:12" ht="15" thickTop="1" thickBot="1">
      <c r="B420" s="243"/>
      <c r="C420" s="96"/>
      <c r="D420" s="97" t="s">
        <v>68</v>
      </c>
      <c r="E420" s="125">
        <f>1000*(F10)/100</f>
        <v>18.2</v>
      </c>
      <c r="F420" s="92" t="s">
        <v>249</v>
      </c>
      <c r="G420" s="52" t="s">
        <v>298</v>
      </c>
      <c r="H420" s="245"/>
      <c r="I420" s="245"/>
      <c r="J420" s="638" t="s">
        <v>447</v>
      </c>
      <c r="K420" s="619" t="str">
        <f>IF(D417&lt;=E420,"◯","×")</f>
        <v>◯</v>
      </c>
      <c r="L420" s="619" t="str">
        <f>IF(K419="◯",IF(K420="◯","◯","×"),"×")</f>
        <v>×</v>
      </c>
    </row>
    <row r="421" spans="2:12" ht="14.25" thickTop="1">
      <c r="B421" s="243"/>
      <c r="C421" s="270"/>
      <c r="D421" s="257"/>
      <c r="E421" s="257"/>
      <c r="F421" s="257"/>
      <c r="G421" s="257"/>
      <c r="H421" s="257"/>
      <c r="I421" s="257"/>
      <c r="J421" s="257"/>
      <c r="K421" s="258"/>
    </row>
    <row r="422" spans="2:12">
      <c r="B422" s="243"/>
      <c r="C422" s="1006" t="s">
        <v>617</v>
      </c>
      <c r="D422" s="196">
        <f>E33</f>
        <v>4433.5200000000004</v>
      </c>
      <c r="E422" s="213">
        <f>(F10)</f>
        <v>1.82</v>
      </c>
      <c r="F422" s="41" t="s">
        <v>162</v>
      </c>
      <c r="G422" s="162">
        <f>data!F20</f>
        <v>7.2972799999999998</v>
      </c>
      <c r="H422" s="124">
        <f>E54</f>
        <v>10129218.75</v>
      </c>
      <c r="I422" s="96" t="s">
        <v>105</v>
      </c>
      <c r="J422" s="125">
        <f>(5*(D422)*(E422)^4)/(384*1000*(G422)*(H422))*1000000000*2</f>
        <v>17.138232831147238</v>
      </c>
      <c r="K422" s="95" t="s">
        <v>104</v>
      </c>
    </row>
    <row r="423" spans="2:12">
      <c r="B423" s="243"/>
      <c r="C423" s="244"/>
      <c r="D423" s="199" t="s">
        <v>71</v>
      </c>
      <c r="E423" s="203" t="s">
        <v>92</v>
      </c>
      <c r="F423" s="245"/>
      <c r="G423" s="19" t="s">
        <v>37</v>
      </c>
      <c r="H423" s="251" t="s">
        <v>40</v>
      </c>
      <c r="I423" s="252" t="s">
        <v>66</v>
      </c>
      <c r="J423" s="245"/>
      <c r="K423" s="246"/>
    </row>
    <row r="424" spans="2:12">
      <c r="B424" s="243"/>
      <c r="C424" s="37" t="s">
        <v>165</v>
      </c>
      <c r="D424" s="218">
        <f>(J405)+(J422)</f>
        <v>18.078417314971823</v>
      </c>
      <c r="E424" s="84" t="s">
        <v>104</v>
      </c>
      <c r="F424" s="851" t="s">
        <v>229</v>
      </c>
      <c r="G424" s="245"/>
      <c r="H424" s="245"/>
      <c r="I424" s="245"/>
      <c r="J424" s="245"/>
      <c r="K424" s="246"/>
    </row>
    <row r="425" spans="2:12">
      <c r="B425" s="243"/>
      <c r="C425" s="37"/>
      <c r="D425" s="245"/>
      <c r="E425" s="252"/>
      <c r="F425" s="245"/>
      <c r="G425" s="245"/>
      <c r="H425" s="245"/>
      <c r="I425" s="245"/>
      <c r="J425" s="245"/>
      <c r="K425" s="246"/>
    </row>
    <row r="426" spans="2:12" ht="14.25" thickBot="1">
      <c r="B426" s="243"/>
      <c r="C426" s="219" t="s">
        <v>94</v>
      </c>
      <c r="D426" s="97" t="s">
        <v>68</v>
      </c>
      <c r="E426" s="125">
        <f>1000*(F10)/150</f>
        <v>12.133333333333333</v>
      </c>
      <c r="F426" s="92" t="s">
        <v>248</v>
      </c>
      <c r="G426" s="52" t="s">
        <v>296</v>
      </c>
      <c r="H426" s="245"/>
      <c r="I426" s="245"/>
      <c r="J426" s="25" t="s">
        <v>446</v>
      </c>
      <c r="K426" s="619" t="str">
        <f>IF(D424&lt;=E426,"◯","×")</f>
        <v>×</v>
      </c>
      <c r="L426" s="175" t="s">
        <v>322</v>
      </c>
    </row>
    <row r="427" spans="2:12" ht="15" thickTop="1" thickBot="1">
      <c r="B427" s="243"/>
      <c r="C427" s="81"/>
      <c r="D427" s="93" t="s">
        <v>68</v>
      </c>
      <c r="E427" s="159">
        <f>1000*(F10)/100</f>
        <v>18.2</v>
      </c>
      <c r="F427" s="19" t="s">
        <v>249</v>
      </c>
      <c r="G427" s="67" t="s">
        <v>298</v>
      </c>
      <c r="H427" s="248"/>
      <c r="I427" s="248"/>
      <c r="J427" s="638" t="s">
        <v>447</v>
      </c>
      <c r="K427" s="619" t="str">
        <f>IF(D424&lt;=E427,"◯","×")</f>
        <v>◯</v>
      </c>
      <c r="L427" s="619" t="str">
        <f>IF(K426="◯",IF(K427="◯","◯","×"),"×")</f>
        <v>×</v>
      </c>
    </row>
    <row r="428" spans="2:12" ht="15" thickTop="1" thickBot="1">
      <c r="B428" s="272"/>
      <c r="C428" s="273"/>
      <c r="D428" s="274"/>
      <c r="E428" s="274"/>
      <c r="F428" s="274"/>
      <c r="G428" s="274"/>
      <c r="H428" s="274"/>
      <c r="I428" s="274"/>
      <c r="J428" s="274"/>
      <c r="K428" s="262"/>
    </row>
  </sheetData>
  <sheetProtection password="B64D" sheet="1" objects="1" scenarios="1" selectLockedCells="1"/>
  <mergeCells count="45">
    <mergeCell ref="E330:F330"/>
    <mergeCell ref="E343:F343"/>
    <mergeCell ref="E373:F373"/>
    <mergeCell ref="E355:F355"/>
    <mergeCell ref="E359:F359"/>
    <mergeCell ref="E369:F369"/>
    <mergeCell ref="E347:F347"/>
    <mergeCell ref="B2:E2"/>
    <mergeCell ref="C16:E16"/>
    <mergeCell ref="F16:H16"/>
    <mergeCell ref="B12:B13"/>
    <mergeCell ref="E321:F321"/>
    <mergeCell ref="D57:E57"/>
    <mergeCell ref="F56:G57"/>
    <mergeCell ref="F58:G58"/>
    <mergeCell ref="E313:F313"/>
    <mergeCell ref="B56:E56"/>
    <mergeCell ref="C18:D18"/>
    <mergeCell ref="C28:D28"/>
    <mergeCell ref="B57:C57"/>
    <mergeCell ref="Q33:R33"/>
    <mergeCell ref="L33:M33"/>
    <mergeCell ref="O57:P57"/>
    <mergeCell ref="O58:P59"/>
    <mergeCell ref="O60:P60"/>
    <mergeCell ref="O49:P50"/>
    <mergeCell ref="O51:P51"/>
    <mergeCell ref="O52:P53"/>
    <mergeCell ref="O54:P54"/>
    <mergeCell ref="O55:P56"/>
    <mergeCell ref="M35:N35"/>
    <mergeCell ref="L37:O37"/>
    <mergeCell ref="L38:O38"/>
    <mergeCell ref="K40:L40"/>
    <mergeCell ref="K41:L41"/>
    <mergeCell ref="K42:L42"/>
    <mergeCell ref="J52:J54"/>
    <mergeCell ref="J49:J51"/>
    <mergeCell ref="J55:J57"/>
    <mergeCell ref="J58:J60"/>
    <mergeCell ref="J20:K20"/>
    <mergeCell ref="J22:K22"/>
    <mergeCell ref="J32:K32"/>
    <mergeCell ref="K43:L43"/>
    <mergeCell ref="K44:L44"/>
  </mergeCells>
  <phoneticPr fontId="1"/>
  <dataValidations count="11">
    <dataValidation type="list" allowBlank="1" showInputMessage="1" showErrorMessage="1" sqref="C19" xr:uid="{00000000-0002-0000-0700-000000000000}">
      <formula1>$AA$37:$AA$38</formula1>
    </dataValidation>
    <dataValidation type="list" allowBlank="1" showInputMessage="1" showErrorMessage="1" sqref="C18:D18" xr:uid="{00000000-0002-0000-0700-000001000000}">
      <formula1>$Z$37:$Z$40</formula1>
    </dataValidation>
    <dataValidation allowBlank="1" showInputMessage="1" showErrorMessage="1" promptTitle="sei" sqref="AA21:AA26" xr:uid="{00000000-0002-0000-0700-000002000000}"/>
    <dataValidation type="list" allowBlank="1" showInputMessage="1" showErrorMessage="1" sqref="C4" xr:uid="{00000000-0002-0000-0700-000003000000}">
      <formula1>$Z$30:$Z$33</formula1>
    </dataValidation>
    <dataValidation type="list" allowBlank="1" showInputMessage="1" showErrorMessage="1" sqref="C5" xr:uid="{00000000-0002-0000-0700-000004000000}">
      <formula1>$Z$34:$Z$36</formula1>
    </dataValidation>
    <dataValidation type="list" allowBlank="1" showInputMessage="1" showErrorMessage="1" sqref="E5" xr:uid="{00000000-0002-0000-0700-000005000000}">
      <formula1>$Z$21:$Z$29</formula1>
    </dataValidation>
    <dataValidation type="list" allowBlank="1" showInputMessage="1" showErrorMessage="1" sqref="C7" xr:uid="{00000000-0002-0000-0700-000006000000}">
      <formula1>$AA$25:$AA$26</formula1>
    </dataValidation>
    <dataValidation type="list" allowBlank="1" showInputMessage="1" showErrorMessage="1" sqref="D7:E7" xr:uid="{00000000-0002-0000-0700-000007000000}">
      <formula1>$AA$25:$AA$36</formula1>
    </dataValidation>
    <dataValidation type="list" allowBlank="1" showInputMessage="1" showErrorMessage="1" sqref="G14" xr:uid="{00000000-0002-0000-0700-000008000000}">
      <formula1>$AB$33:$AB$36</formula1>
    </dataValidation>
    <dataValidation type="list" allowBlank="1" showInputMessage="1" showErrorMessage="1" sqref="C21" xr:uid="{00000000-0002-0000-0700-000009000000}">
      <formula1>$AB$21:$AB$26</formula1>
    </dataValidation>
    <dataValidation type="list" allowBlank="1" showInputMessage="1" showErrorMessage="1" sqref="H21" xr:uid="{00000000-0002-0000-0700-00000A000000}">
      <formula1>$AA$39:$AA$40</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700-00000B000000}">
          <x14:formula1>
            <xm:f>data!$A$20:$A$23</xm:f>
          </x14:formula1>
          <xm:sqref>G14</xm:sqref>
        </x14:dataValidation>
        <x14:dataValidation type="list" allowBlank="1" showInputMessage="1" showErrorMessage="1" xr:uid="{00000000-0002-0000-0700-00000C000000}">
          <x14:formula1>
            <xm:f>data!$A$2:$A$10</xm:f>
          </x14:formula1>
          <xm:sqref>E5</xm:sqref>
        </x14:dataValidation>
        <x14:dataValidation type="list" allowBlank="1" showInputMessage="1" showErrorMessage="1" xr:uid="{00000000-0002-0000-0700-00000D000000}">
          <x14:formula1>
            <xm:f>data!$A$11:$A$14</xm:f>
          </x14:formula1>
          <xm:sqref>C4</xm:sqref>
        </x14:dataValidation>
        <x14:dataValidation type="list" allowBlank="1" showInputMessage="1" showErrorMessage="1" xr:uid="{00000000-0002-0000-0700-00000E000000}">
          <x14:formula1>
            <xm:f>data!$B$15:$B$16</xm:f>
          </x14:formula1>
          <xm:sqref>C7</xm:sqref>
        </x14:dataValidation>
        <x14:dataValidation type="list" allowBlank="1" showInputMessage="1" showErrorMessage="1" xr:uid="{00000000-0002-0000-0700-00000F000000}">
          <x14:formula1>
            <xm:f>data!$A$15:$A$17</xm:f>
          </x14:formula1>
          <xm:sqref>C5</xm:sqref>
        </x14:dataValidation>
        <x14:dataValidation type="list" allowBlank="1" showInputMessage="1" showErrorMessage="1" xr:uid="{00000000-0002-0000-0700-000010000000}">
          <x14:formula1>
            <xm:f>data!$A$33:$A$36</xm:f>
          </x14:formula1>
          <xm:sqref>C18:E18</xm:sqref>
        </x14:dataValidation>
        <x14:dataValidation type="list" allowBlank="1" showInputMessage="1" showErrorMessage="1" xr:uid="{00000000-0002-0000-0700-000011000000}">
          <x14:formula1>
            <xm:f>data!$B$33:$B$34</xm:f>
          </x14:formula1>
          <xm:sqref>C19</xm:sqref>
        </x14:dataValidation>
        <x14:dataValidation type="list" allowBlank="1" showInputMessage="1" showErrorMessage="1" xr:uid="{00000000-0002-0000-0700-000012000000}">
          <x14:formula1>
            <xm:f>data!$A$37:$A$42</xm:f>
          </x14:formula1>
          <xm:sqref>C21</xm:sqref>
        </x14:dataValidation>
        <x14:dataValidation type="list" allowBlank="1" showInputMessage="1" showErrorMessage="1" xr:uid="{00000000-0002-0000-0700-000013000000}">
          <x14:formula1>
            <xm:f>data!$B$35:$B$36</xm:f>
          </x14:formula1>
          <xm:sqref>H21</xm:sqref>
        </x14:dataValidation>
        <x14:dataValidation type="list" allowBlank="1" showInputMessage="1" showErrorMessage="1" xr:uid="{00000000-0002-0000-0700-000014000000}">
          <x14:formula1>
            <xm:f>data!$B$15:$B$23</xm:f>
          </x14:formula1>
          <xm:sqref>C58 E58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AA544"/>
  <sheetViews>
    <sheetView showGridLines="0" showRowColHeaders="0" zoomScale="130" zoomScaleNormal="130" workbookViewId="0">
      <selection activeCell="G14" sqref="G14"/>
    </sheetView>
  </sheetViews>
  <sheetFormatPr defaultRowHeight="13.5"/>
  <cols>
    <col min="1" max="1" width="1.875" customWidth="1"/>
    <col min="2" max="2" width="11" style="307" customWidth="1"/>
    <col min="3" max="3" width="10.375" style="307" customWidth="1"/>
    <col min="4" max="4" width="8.875" customWidth="1"/>
    <col min="5" max="6" width="8.75" customWidth="1"/>
    <col min="7" max="7" width="8.875" customWidth="1"/>
    <col min="8" max="8" width="10.125" customWidth="1"/>
    <col min="9" max="10" width="8.75" customWidth="1"/>
    <col min="11" max="11" width="13.375" customWidth="1"/>
    <col min="12" max="13" width="8.75" customWidth="1"/>
    <col min="14" max="14" width="11" customWidth="1"/>
    <col min="15" max="15" width="8.75" customWidth="1"/>
    <col min="16" max="16" width="11.875" customWidth="1"/>
    <col min="18" max="18" width="9.5" bestFit="1" customWidth="1"/>
    <col min="19" max="19" width="8.25" customWidth="1"/>
    <col min="20" max="20" width="7.375" customWidth="1"/>
    <col min="21" max="21" width="9.125" bestFit="1" customWidth="1"/>
    <col min="23" max="23" width="9.125" bestFit="1" customWidth="1"/>
  </cols>
  <sheetData>
    <row r="2" spans="2:10" ht="21">
      <c r="B2" s="1210" t="s">
        <v>344</v>
      </c>
      <c r="C2" s="1211"/>
      <c r="D2" s="1211"/>
      <c r="E2" s="1211"/>
      <c r="F2" s="303"/>
      <c r="I2" s="974" t="s">
        <v>495</v>
      </c>
      <c r="J2" s="975" t="s">
        <v>496</v>
      </c>
    </row>
    <row r="3" spans="2:10" ht="14.25" thickBot="1"/>
    <row r="4" spans="2:10">
      <c r="B4" s="179" t="s">
        <v>0</v>
      </c>
      <c r="C4" s="1096">
        <v>910</v>
      </c>
      <c r="D4" s="180" t="s">
        <v>4</v>
      </c>
      <c r="E4" s="180"/>
      <c r="F4" s="180"/>
      <c r="G4" s="180"/>
      <c r="H4" s="193"/>
      <c r="I4" s="323" t="s">
        <v>365</v>
      </c>
    </row>
    <row r="5" spans="2:10">
      <c r="B5" s="68" t="s">
        <v>12</v>
      </c>
      <c r="C5" s="1097" t="s">
        <v>745</v>
      </c>
      <c r="D5" s="51" t="s">
        <v>54</v>
      </c>
      <c r="E5" s="1098" t="s">
        <v>46</v>
      </c>
      <c r="F5" s="77"/>
      <c r="G5" s="77"/>
      <c r="H5" s="34"/>
      <c r="I5" s="52" t="s">
        <v>362</v>
      </c>
    </row>
    <row r="6" spans="2:10">
      <c r="B6" s="1298" t="s">
        <v>13</v>
      </c>
      <c r="C6" s="818" t="s">
        <v>78</v>
      </c>
      <c r="D6" s="818" t="s">
        <v>79</v>
      </c>
      <c r="E6" s="818" t="s">
        <v>79</v>
      </c>
      <c r="F6" s="41"/>
      <c r="G6" s="41"/>
      <c r="H6" s="34"/>
      <c r="I6" s="339" t="s">
        <v>363</v>
      </c>
    </row>
    <row r="7" spans="2:10">
      <c r="B7" s="1299"/>
      <c r="C7" s="1099">
        <v>105</v>
      </c>
      <c r="D7" s="1100">
        <v>105</v>
      </c>
      <c r="E7" s="1101">
        <v>105</v>
      </c>
      <c r="F7" s="41"/>
      <c r="G7" s="41"/>
      <c r="H7" s="34"/>
      <c r="I7" s="339" t="s">
        <v>364</v>
      </c>
    </row>
    <row r="8" spans="2:10">
      <c r="B8" s="226"/>
      <c r="C8" s="182"/>
      <c r="D8" s="47" t="s">
        <v>479</v>
      </c>
      <c r="E8" s="48" t="s">
        <v>480</v>
      </c>
      <c r="F8" s="41"/>
      <c r="G8" s="41"/>
      <c r="H8" s="34"/>
    </row>
    <row r="9" spans="2:10">
      <c r="B9" s="840" t="s">
        <v>360</v>
      </c>
      <c r="C9" s="775">
        <f>C4</f>
        <v>910</v>
      </c>
      <c r="D9" s="459" t="s">
        <v>4</v>
      </c>
      <c r="E9" s="774" t="s">
        <v>349</v>
      </c>
      <c r="F9" s="908">
        <v>3.64</v>
      </c>
      <c r="G9" s="459" t="s">
        <v>77</v>
      </c>
      <c r="H9" s="34"/>
    </row>
    <row r="10" spans="2:10">
      <c r="B10" s="705" t="s">
        <v>350</v>
      </c>
      <c r="C10" s="908">
        <v>1.82</v>
      </c>
      <c r="D10" s="459" t="s">
        <v>77</v>
      </c>
      <c r="E10" s="818" t="s">
        <v>251</v>
      </c>
      <c r="F10" s="859">
        <v>3.64</v>
      </c>
      <c r="G10" s="459" t="s">
        <v>77</v>
      </c>
      <c r="H10" s="34"/>
    </row>
    <row r="11" spans="2:10" ht="13.15" customHeight="1">
      <c r="B11" s="68" t="s">
        <v>5</v>
      </c>
      <c r="C11" s="774">
        <v>2</v>
      </c>
      <c r="D11" s="77"/>
      <c r="E11" s="51" t="s">
        <v>454</v>
      </c>
      <c r="F11" s="1103">
        <v>0.4</v>
      </c>
      <c r="G11" s="695"/>
      <c r="H11" s="696"/>
    </row>
    <row r="12" spans="2:10">
      <c r="B12" s="1297" t="s">
        <v>107</v>
      </c>
      <c r="C12" s="906" t="s">
        <v>96</v>
      </c>
      <c r="D12" s="859" t="s">
        <v>90</v>
      </c>
      <c r="E12" s="316" t="s">
        <v>103</v>
      </c>
      <c r="F12" s="45"/>
      <c r="G12" s="697"/>
      <c r="H12" s="696"/>
    </row>
    <row r="13" spans="2:10">
      <c r="B13" s="1297"/>
      <c r="C13" s="1088">
        <v>1</v>
      </c>
      <c r="D13" s="1087">
        <v>1</v>
      </c>
      <c r="E13" s="1087">
        <v>1</v>
      </c>
      <c r="F13" s="300"/>
      <c r="G13" s="301" t="s">
        <v>134</v>
      </c>
      <c r="H13" s="34"/>
    </row>
    <row r="14" spans="2:10">
      <c r="B14" s="68" t="s">
        <v>7</v>
      </c>
      <c r="C14" s="225">
        <f>IF(C63&gt;300,(300/C63)^(1/9),1)</f>
        <v>1</v>
      </c>
      <c r="D14" s="51"/>
      <c r="F14" s="195" t="s">
        <v>135</v>
      </c>
      <c r="G14" s="1098" t="s">
        <v>305</v>
      </c>
      <c r="H14" s="50" t="s">
        <v>345</v>
      </c>
    </row>
    <row r="15" spans="2:10" ht="8.25" customHeight="1">
      <c r="B15" s="230"/>
      <c r="C15" s="84"/>
      <c r="D15" s="77"/>
      <c r="E15" s="77"/>
      <c r="F15" s="77"/>
      <c r="G15" s="77"/>
      <c r="H15" s="34"/>
    </row>
    <row r="16" spans="2:10">
      <c r="B16" s="68" t="s">
        <v>180</v>
      </c>
      <c r="C16" s="1223" t="s">
        <v>181</v>
      </c>
      <c r="D16" s="1223"/>
      <c r="E16" s="1223"/>
      <c r="F16" s="1167" t="s">
        <v>182</v>
      </c>
      <c r="G16" s="1278"/>
      <c r="H16" s="1279"/>
      <c r="I16" s="42"/>
    </row>
    <row r="17" spans="2:27" ht="9" customHeight="1">
      <c r="B17" s="230"/>
      <c r="C17" s="84"/>
      <c r="D17" s="77"/>
      <c r="E17" s="77"/>
      <c r="F17" s="77"/>
      <c r="G17" s="77"/>
      <c r="H17" s="77"/>
      <c r="I17" s="5"/>
    </row>
    <row r="18" spans="2:27">
      <c r="B18" s="108" t="s">
        <v>469</v>
      </c>
      <c r="C18" s="1106" t="s">
        <v>183</v>
      </c>
      <c r="H18" s="77"/>
      <c r="I18" s="42"/>
      <c r="J18" s="2"/>
      <c r="K18" s="873" t="s">
        <v>346</v>
      </c>
      <c r="L18" s="2"/>
      <c r="M18" s="2"/>
      <c r="N18" s="2"/>
      <c r="O18" s="2"/>
      <c r="P18" s="92" t="s">
        <v>347</v>
      </c>
      <c r="Q18" s="92" t="s">
        <v>348</v>
      </c>
      <c r="Y18" s="1044" t="s">
        <v>46</v>
      </c>
      <c r="Z18" s="1018">
        <v>45</v>
      </c>
      <c r="AA18" s="1046">
        <v>1</v>
      </c>
    </row>
    <row r="19" spans="2:27">
      <c r="B19" s="108" t="s">
        <v>195</v>
      </c>
      <c r="C19" s="1106" t="s">
        <v>189</v>
      </c>
      <c r="H19" s="301"/>
      <c r="I19" s="42"/>
      <c r="J19" s="2"/>
      <c r="K19" s="2"/>
      <c r="N19" s="872"/>
      <c r="O19" s="872"/>
      <c r="P19" s="2"/>
      <c r="Y19" s="1045" t="s">
        <v>45</v>
      </c>
      <c r="Z19" s="1018">
        <v>60</v>
      </c>
      <c r="AA19" s="1046">
        <v>2</v>
      </c>
    </row>
    <row r="20" spans="2:27" ht="14.25" thickBot="1">
      <c r="B20" s="466" t="s">
        <v>361</v>
      </c>
      <c r="C20" s="1107">
        <v>60</v>
      </c>
      <c r="D20" s="77" t="s">
        <v>367</v>
      </c>
      <c r="E20" s="301"/>
      <c r="F20" s="305"/>
      <c r="G20" s="301"/>
      <c r="H20" s="301"/>
      <c r="I20" s="5"/>
      <c r="J20" s="7"/>
      <c r="K20" s="2"/>
      <c r="L20" s="2"/>
      <c r="M20" s="2"/>
      <c r="N20" s="2"/>
      <c r="O20" s="2"/>
      <c r="P20" s="2"/>
      <c r="Y20" s="1045" t="s">
        <v>47</v>
      </c>
      <c r="Z20" s="1018">
        <v>75</v>
      </c>
      <c r="AA20" s="1046">
        <v>3</v>
      </c>
    </row>
    <row r="21" spans="2:27" ht="14.25" thickBot="1">
      <c r="B21" s="907" t="s">
        <v>191</v>
      </c>
      <c r="C21" s="1108">
        <v>4</v>
      </c>
      <c r="D21" s="46" t="s">
        <v>211</v>
      </c>
      <c r="E21" s="210">
        <f>ATAN(C21/10)*180/PI()</f>
        <v>21.801409486351812</v>
      </c>
      <c r="F21" s="77" t="s">
        <v>207</v>
      </c>
      <c r="G21" s="301" t="s">
        <v>192</v>
      </c>
      <c r="H21" s="1109" t="s">
        <v>243</v>
      </c>
      <c r="I21" s="42"/>
      <c r="J21" s="1168" t="s">
        <v>109</v>
      </c>
      <c r="K21" s="1183"/>
      <c r="L21" s="3"/>
      <c r="M21" s="3"/>
      <c r="N21" s="3"/>
      <c r="O21" s="3"/>
      <c r="P21" s="3"/>
      <c r="Q21" s="3"/>
      <c r="R21" s="3"/>
      <c r="S21" s="3"/>
      <c r="T21" s="4"/>
      <c r="X21" s="2"/>
      <c r="Y21" s="1045" t="s">
        <v>48</v>
      </c>
      <c r="Z21" s="1018">
        <v>90</v>
      </c>
      <c r="AA21" s="1046">
        <v>4</v>
      </c>
    </row>
    <row r="22" spans="2:27">
      <c r="B22" s="179" t="s">
        <v>263</v>
      </c>
      <c r="C22" s="337" t="s">
        <v>221</v>
      </c>
      <c r="D22" s="322" t="s">
        <v>265</v>
      </c>
      <c r="E22" s="180"/>
      <c r="F22" s="180"/>
      <c r="G22" s="180"/>
      <c r="H22" s="193"/>
      <c r="I22" s="42"/>
      <c r="J22" s="42"/>
      <c r="K22" s="2"/>
      <c r="L22" s="2"/>
      <c r="M22" s="2"/>
      <c r="N22" s="2"/>
      <c r="O22" s="2"/>
      <c r="P22" s="2"/>
      <c r="Q22" s="2"/>
      <c r="R22" s="2"/>
      <c r="S22" s="2"/>
      <c r="T22" s="6"/>
      <c r="X22" s="2"/>
      <c r="Y22" s="1045" t="s">
        <v>49</v>
      </c>
      <c r="Z22" s="1018">
        <v>105</v>
      </c>
      <c r="AA22" s="1046">
        <v>5</v>
      </c>
    </row>
    <row r="23" spans="2:27" ht="13.5" customHeight="1">
      <c r="B23" s="230"/>
      <c r="C23" s="182"/>
      <c r="D23" s="47" t="s">
        <v>351</v>
      </c>
      <c r="E23" s="194">
        <f>(F11)*(C7)*(D7)*9.8/1000</f>
        <v>43.218000000000004</v>
      </c>
      <c r="G23" s="77"/>
      <c r="I23" s="42"/>
      <c r="J23" s="1172" t="s">
        <v>110</v>
      </c>
      <c r="K23" s="1256"/>
      <c r="L23" s="2"/>
      <c r="M23" s="2"/>
      <c r="N23" s="2"/>
      <c r="O23" s="2"/>
      <c r="P23" s="2"/>
      <c r="Q23" s="2"/>
      <c r="R23" s="2"/>
      <c r="S23" s="2"/>
      <c r="T23" s="6"/>
      <c r="X23" s="2"/>
      <c r="Y23" s="1045" t="s">
        <v>50</v>
      </c>
      <c r="Z23" s="1018">
        <v>120</v>
      </c>
      <c r="AA23" s="1046">
        <v>6</v>
      </c>
    </row>
    <row r="24" spans="2:27" ht="14.25" thickBot="1">
      <c r="B24" s="230"/>
      <c r="C24" s="182"/>
      <c r="D24" s="515" t="s">
        <v>256</v>
      </c>
      <c r="E24" s="308">
        <f>(O54)*((C4)/2000+(C20)/100)</f>
        <v>738.5</v>
      </c>
      <c r="G24" s="45" t="s">
        <v>357</v>
      </c>
      <c r="I24" s="42"/>
      <c r="J24" s="42"/>
      <c r="K24" s="829"/>
      <c r="L24" s="830" t="s">
        <v>114</v>
      </c>
      <c r="M24" s="830" t="s">
        <v>116</v>
      </c>
      <c r="N24" s="830" t="s">
        <v>115</v>
      </c>
      <c r="O24" s="2"/>
      <c r="P24" s="829"/>
      <c r="Q24" s="830" t="s">
        <v>114</v>
      </c>
      <c r="R24" s="830" t="s">
        <v>116</v>
      </c>
      <c r="S24" s="830" t="s">
        <v>115</v>
      </c>
      <c r="T24" s="6"/>
      <c r="X24" s="2"/>
      <c r="Y24" s="1045" t="s">
        <v>51</v>
      </c>
      <c r="Z24" s="1046">
        <v>135</v>
      </c>
      <c r="AA24" s="1046">
        <v>7</v>
      </c>
    </row>
    <row r="25" spans="2:27">
      <c r="B25" s="68"/>
      <c r="C25" s="182"/>
      <c r="D25" s="516" t="s">
        <v>199</v>
      </c>
      <c r="E25" s="309">
        <f>$O$50</f>
        <v>300</v>
      </c>
      <c r="F25" s="41"/>
      <c r="G25" s="41"/>
      <c r="H25" s="34"/>
      <c r="I25" s="42"/>
      <c r="J25" s="797" t="s">
        <v>199</v>
      </c>
      <c r="K25" s="1138" t="s">
        <v>205</v>
      </c>
      <c r="L25" s="1105">
        <v>100</v>
      </c>
      <c r="M25" s="833"/>
      <c r="N25" s="833"/>
      <c r="O25" s="689" t="s">
        <v>256</v>
      </c>
      <c r="P25" s="1141" t="s">
        <v>259</v>
      </c>
      <c r="Q25" s="1077">
        <v>40</v>
      </c>
      <c r="R25" s="833"/>
      <c r="S25" s="833"/>
      <c r="T25" s="6"/>
      <c r="X25" s="306"/>
      <c r="Y25" s="1045" t="s">
        <v>52</v>
      </c>
      <c r="Z25" s="1046">
        <v>150</v>
      </c>
      <c r="AA25" s="1046">
        <v>8</v>
      </c>
    </row>
    <row r="26" spans="2:27" ht="13.5" customHeight="1">
      <c r="B26" s="302"/>
      <c r="C26" s="182"/>
      <c r="D26" s="55" t="s">
        <v>281</v>
      </c>
      <c r="E26" s="231">
        <f>($E$23+$E$24+E25)</f>
        <v>1081.7179999999998</v>
      </c>
      <c r="F26" s="51" t="s">
        <v>265</v>
      </c>
      <c r="G26" s="874" t="s">
        <v>267</v>
      </c>
      <c r="H26" s="34"/>
      <c r="J26" s="42"/>
      <c r="K26" s="1139" t="s">
        <v>204</v>
      </c>
      <c r="L26" s="1105">
        <v>80</v>
      </c>
      <c r="M26" s="834"/>
      <c r="N26" s="834"/>
      <c r="O26" s="2"/>
      <c r="P26" s="1142" t="s">
        <v>260</v>
      </c>
      <c r="Q26" s="1077">
        <v>30</v>
      </c>
      <c r="R26" s="834"/>
      <c r="S26" s="834"/>
      <c r="T26" s="6"/>
      <c r="X26" s="72"/>
      <c r="Y26" s="1045" t="s">
        <v>53</v>
      </c>
      <c r="Z26" s="1046">
        <v>180</v>
      </c>
      <c r="AA26" s="1046">
        <v>9</v>
      </c>
    </row>
    <row r="27" spans="2:27" ht="13.5" customHeight="1" thickBot="1">
      <c r="B27" s="302"/>
      <c r="H27" s="6"/>
      <c r="J27" s="42"/>
      <c r="K27" s="1140"/>
      <c r="L27" s="1105">
        <v>0</v>
      </c>
      <c r="M27" s="834"/>
      <c r="N27" s="834"/>
      <c r="O27" s="2"/>
      <c r="P27" s="1142" t="s">
        <v>261</v>
      </c>
      <c r="Q27" s="1077">
        <v>100</v>
      </c>
      <c r="R27" s="834"/>
      <c r="S27" s="834"/>
      <c r="T27" s="6"/>
      <c r="X27" s="70"/>
      <c r="Y27" s="1047">
        <v>910</v>
      </c>
      <c r="Z27" s="1046">
        <v>210</v>
      </c>
      <c r="AA27" s="1020">
        <v>1</v>
      </c>
    </row>
    <row r="28" spans="2:27">
      <c r="B28" s="68"/>
      <c r="D28" s="517" t="s">
        <v>199</v>
      </c>
      <c r="E28" s="312">
        <f>$O$51</f>
        <v>943</v>
      </c>
      <c r="F28" s="41"/>
      <c r="H28" s="6"/>
      <c r="J28" s="42"/>
      <c r="K28" s="1139" t="s">
        <v>746</v>
      </c>
      <c r="L28" s="1105">
        <v>40</v>
      </c>
      <c r="M28" s="834"/>
      <c r="N28" s="834"/>
      <c r="O28" s="2"/>
      <c r="P28" s="1142" t="s">
        <v>262</v>
      </c>
      <c r="Q28" s="1077">
        <v>30</v>
      </c>
      <c r="R28" s="836">
        <f>SUM(Q25:Q28)</f>
        <v>200</v>
      </c>
      <c r="S28" s="836">
        <f>+ROUNDUP(R28/5,-1)*5</f>
        <v>200</v>
      </c>
      <c r="T28" s="6"/>
      <c r="X28" s="70"/>
      <c r="Y28" s="1047">
        <v>950</v>
      </c>
      <c r="Z28" s="1046">
        <v>240</v>
      </c>
      <c r="AA28" s="1020">
        <v>1.1499999999999999</v>
      </c>
    </row>
    <row r="29" spans="2:27">
      <c r="B29" s="230"/>
      <c r="D29" s="55" t="s">
        <v>281</v>
      </c>
      <c r="E29" s="231">
        <f>($E$23+$E$24+E28)</f>
        <v>1724.7179999999998</v>
      </c>
      <c r="F29" s="51" t="s">
        <v>265</v>
      </c>
      <c r="G29" s="857" t="s">
        <v>228</v>
      </c>
      <c r="H29" s="6"/>
      <c r="J29" s="42"/>
      <c r="K29" s="1139" t="s">
        <v>747</v>
      </c>
      <c r="L29" s="1105">
        <v>50</v>
      </c>
      <c r="M29" s="836">
        <f>SUM(L25:L29)</f>
        <v>270</v>
      </c>
      <c r="N29" s="837">
        <f>+ROUNDUP(M29/5,-1)*5</f>
        <v>300</v>
      </c>
      <c r="O29" s="2"/>
      <c r="P29" s="400" t="s">
        <v>258</v>
      </c>
      <c r="Q29" s="19" t="s">
        <v>127</v>
      </c>
      <c r="R29" s="2"/>
      <c r="S29" s="2"/>
      <c r="T29" s="6"/>
      <c r="X29" s="2"/>
      <c r="Y29" s="1047">
        <v>1000</v>
      </c>
      <c r="Z29" s="1046">
        <v>270</v>
      </c>
      <c r="AA29" s="1020">
        <v>1.25</v>
      </c>
    </row>
    <row r="30" spans="2:27" ht="14.25" thickBot="1">
      <c r="B30" s="230"/>
      <c r="G30" s="673"/>
      <c r="H30" s="6"/>
      <c r="J30" s="42"/>
      <c r="K30" s="832" t="s">
        <v>216</v>
      </c>
      <c r="L30" s="726"/>
      <c r="M30" s="350">
        <f>M29*$O$45</f>
        <v>290.7988995852632</v>
      </c>
      <c r="N30" s="776">
        <f>+ROUNDUP(M30/5,-1)*5</f>
        <v>300</v>
      </c>
      <c r="O30" s="2"/>
      <c r="P30" s="2"/>
      <c r="Q30" s="2"/>
      <c r="R30" s="2"/>
      <c r="S30" s="2"/>
      <c r="T30" s="6"/>
      <c r="X30" s="2"/>
      <c r="Y30" s="1047">
        <v>985</v>
      </c>
      <c r="Z30" s="1046">
        <v>300</v>
      </c>
      <c r="AA30" s="1060" t="s">
        <v>731</v>
      </c>
    </row>
    <row r="31" spans="2:27">
      <c r="B31" s="68"/>
      <c r="D31" s="517" t="s">
        <v>199</v>
      </c>
      <c r="E31" s="312">
        <f>$O$52</f>
        <v>1218</v>
      </c>
      <c r="F31" s="41"/>
      <c r="G31" s="673"/>
      <c r="H31" s="6"/>
      <c r="J31" s="42"/>
      <c r="K31" s="690" t="s">
        <v>210</v>
      </c>
      <c r="L31" s="19" t="s">
        <v>127</v>
      </c>
      <c r="M31" s="2"/>
      <c r="N31" s="2"/>
      <c r="O31" s="2"/>
      <c r="P31" s="2"/>
      <c r="Q31" s="2"/>
      <c r="R31" s="2"/>
      <c r="S31" s="2"/>
      <c r="T31" s="6"/>
      <c r="X31" s="2"/>
      <c r="Y31" s="1047" t="s">
        <v>722</v>
      </c>
      <c r="Z31" s="1046">
        <v>330</v>
      </c>
      <c r="AA31" s="1060" t="s">
        <v>719</v>
      </c>
    </row>
    <row r="32" spans="2:27">
      <c r="B32" s="230"/>
      <c r="D32" s="55" t="s">
        <v>281</v>
      </c>
      <c r="E32" s="231">
        <f>($E$23+$E$24+E31)</f>
        <v>1999.7179999999998</v>
      </c>
      <c r="F32" s="51" t="s">
        <v>265</v>
      </c>
      <c r="G32" s="857" t="s">
        <v>229</v>
      </c>
      <c r="H32" s="6"/>
      <c r="J32" s="42"/>
      <c r="K32" s="2"/>
      <c r="L32" s="2"/>
      <c r="M32" s="2"/>
      <c r="N32" s="2"/>
      <c r="O32" s="2"/>
      <c r="P32" s="2"/>
      <c r="Q32" s="2"/>
      <c r="R32" s="2"/>
      <c r="S32" s="2"/>
      <c r="T32" s="6"/>
      <c r="X32" s="2"/>
      <c r="Y32" s="1048" t="s">
        <v>712</v>
      </c>
      <c r="Z32" s="1046">
        <v>360</v>
      </c>
      <c r="AA32" s="1060" t="s">
        <v>732</v>
      </c>
    </row>
    <row r="33" spans="2:27" ht="14.25" thickBot="1">
      <c r="B33" s="230"/>
      <c r="C33" s="182"/>
      <c r="D33" s="41"/>
      <c r="E33" s="41"/>
      <c r="F33" s="41"/>
      <c r="G33" s="41"/>
      <c r="H33" s="34"/>
      <c r="J33" s="42"/>
      <c r="K33" s="829"/>
      <c r="L33" s="830" t="s">
        <v>114</v>
      </c>
      <c r="M33" s="830" t="s">
        <v>116</v>
      </c>
      <c r="N33" s="830" t="s">
        <v>115</v>
      </c>
      <c r="O33" s="2"/>
      <c r="P33" s="2"/>
      <c r="Q33" s="2"/>
      <c r="R33" s="2"/>
      <c r="S33" s="2"/>
      <c r="T33" s="6"/>
      <c r="X33" s="2"/>
      <c r="Y33" s="1048" t="s">
        <v>728</v>
      </c>
      <c r="Z33" s="1046">
        <v>390</v>
      </c>
      <c r="AA33" s="1060" t="s">
        <v>721</v>
      </c>
    </row>
    <row r="34" spans="2:27">
      <c r="B34" s="332"/>
      <c r="C34" s="333" t="s">
        <v>143</v>
      </c>
      <c r="D34" s="334" t="s">
        <v>272</v>
      </c>
      <c r="E34" s="335"/>
      <c r="F34" s="335"/>
      <c r="G34" s="335"/>
      <c r="H34" s="336"/>
      <c r="I34" s="2"/>
      <c r="J34" s="712" t="s">
        <v>481</v>
      </c>
      <c r="K34" s="1143" t="s">
        <v>359</v>
      </c>
      <c r="L34" s="1077">
        <v>640</v>
      </c>
      <c r="M34" s="317"/>
      <c r="N34" s="317"/>
      <c r="O34" s="2"/>
      <c r="P34" s="2"/>
      <c r="Q34" s="2"/>
      <c r="R34" s="2"/>
      <c r="S34" s="2"/>
      <c r="T34" s="6"/>
      <c r="X34" s="2"/>
      <c r="Y34" s="1046" t="s">
        <v>183</v>
      </c>
      <c r="Z34" s="1060" t="s">
        <v>189</v>
      </c>
      <c r="AA34" s="1061" t="s">
        <v>187</v>
      </c>
    </row>
    <row r="35" spans="2:27">
      <c r="B35" s="68" t="s">
        <v>273</v>
      </c>
      <c r="C35" s="311" t="s">
        <v>353</v>
      </c>
      <c r="D35" s="52">
        <f>(小屋ばり!E24)</f>
        <v>43.218000000000004</v>
      </c>
      <c r="E35" s="1300" t="s">
        <v>276</v>
      </c>
      <c r="F35" s="1301"/>
      <c r="H35" s="6"/>
      <c r="I35" s="2"/>
      <c r="J35" s="42"/>
      <c r="K35" s="1143" t="s">
        <v>359</v>
      </c>
      <c r="L35" s="1077">
        <v>0</v>
      </c>
      <c r="M35" s="871">
        <f>SUM(L32:L35)</f>
        <v>640</v>
      </c>
      <c r="N35" s="870">
        <f>+ROUNDUP(M35/5,-1)*5</f>
        <v>650</v>
      </c>
      <c r="O35" s="2"/>
      <c r="P35" s="2"/>
      <c r="Q35" s="2"/>
      <c r="R35" s="2"/>
      <c r="S35" s="2"/>
      <c r="T35" s="6"/>
      <c r="X35" s="2"/>
      <c r="Y35" s="1046" t="s">
        <v>184</v>
      </c>
      <c r="Z35" s="1060" t="s">
        <v>190</v>
      </c>
      <c r="AA35" s="1062" t="s">
        <v>188</v>
      </c>
    </row>
    <row r="36" spans="2:27">
      <c r="B36" s="310"/>
      <c r="E36" s="313" t="s">
        <v>277</v>
      </c>
      <c r="F36" s="315" t="s">
        <v>278</v>
      </c>
      <c r="I36" s="42"/>
      <c r="J36" s="42"/>
      <c r="K36" s="832" t="s">
        <v>216</v>
      </c>
      <c r="L36" s="459"/>
      <c r="M36" s="869">
        <f>M35*$O$45</f>
        <v>689.30109531321648</v>
      </c>
      <c r="N36" s="868">
        <f>+ROUNDUP(M36/5,-1)*5</f>
        <v>700</v>
      </c>
      <c r="O36" s="2"/>
      <c r="P36" s="2"/>
      <c r="Q36" s="2"/>
      <c r="R36" s="2"/>
      <c r="S36" s="2"/>
      <c r="T36" s="6"/>
      <c r="X36" s="2"/>
      <c r="Y36" s="1046" t="s">
        <v>185</v>
      </c>
      <c r="Z36" s="1062" t="s">
        <v>726</v>
      </c>
      <c r="AA36" s="1062" t="s">
        <v>118</v>
      </c>
    </row>
    <row r="37" spans="2:27">
      <c r="B37" s="310"/>
      <c r="C37" s="182" t="s">
        <v>275</v>
      </c>
      <c r="D37" s="41">
        <f>($C$4)/1000</f>
        <v>0.91</v>
      </c>
      <c r="E37" s="357">
        <f>$C$10</f>
        <v>1.82</v>
      </c>
      <c r="F37" s="317">
        <f>($F$10)/2-($C$4)/2000</f>
        <v>1.365</v>
      </c>
      <c r="G37" s="45" t="s">
        <v>370</v>
      </c>
      <c r="I37" s="42"/>
      <c r="J37" s="42"/>
      <c r="K37" s="690" t="s">
        <v>210</v>
      </c>
      <c r="L37" s="19" t="s">
        <v>127</v>
      </c>
      <c r="M37" s="77"/>
      <c r="N37" s="77"/>
      <c r="O37" s="2"/>
      <c r="P37" s="2"/>
      <c r="Q37" s="2"/>
      <c r="R37" s="2"/>
      <c r="S37" s="2"/>
      <c r="T37" s="6"/>
      <c r="X37" s="2"/>
      <c r="Y37" s="1046" t="s">
        <v>186</v>
      </c>
      <c r="Z37" s="1062" t="s">
        <v>733</v>
      </c>
      <c r="AA37" s="1045" t="s">
        <v>119</v>
      </c>
    </row>
    <row r="38" spans="2:27">
      <c r="B38" s="230"/>
      <c r="C38" s="354"/>
      <c r="D38" s="838" t="s">
        <v>267</v>
      </c>
      <c r="E38" s="839" t="s">
        <v>228</v>
      </c>
      <c r="F38" s="839" t="s">
        <v>229</v>
      </c>
      <c r="G38" s="45" t="s">
        <v>271</v>
      </c>
      <c r="H38" s="77"/>
      <c r="I38" s="42"/>
      <c r="J38" s="42"/>
      <c r="K38" s="2"/>
      <c r="L38" s="2"/>
      <c r="M38" s="2"/>
      <c r="N38" s="2"/>
      <c r="O38" s="2"/>
      <c r="P38" s="2"/>
      <c r="Q38" s="2"/>
      <c r="R38" s="2"/>
      <c r="S38" s="2"/>
      <c r="T38" s="6"/>
      <c r="X38" s="2"/>
      <c r="Y38" s="1046"/>
      <c r="Z38" s="1046"/>
      <c r="AA38" s="1045" t="s">
        <v>118</v>
      </c>
    </row>
    <row r="39" spans="2:27" ht="14.25" thickBot="1">
      <c r="B39" s="68"/>
      <c r="C39" s="316" t="s">
        <v>144</v>
      </c>
      <c r="D39" s="325">
        <f>($O$50)*($E$37)*($F$37)</f>
        <v>745.29</v>
      </c>
      <c r="E39" s="325">
        <f>($O$51)*($E$37)*($F$37)</f>
        <v>2342.6949</v>
      </c>
      <c r="F39" s="325">
        <f>($O$52)*($E$37)*($F$37)</f>
        <v>3025.8774000000003</v>
      </c>
      <c r="H39" s="41"/>
      <c r="I39" s="42"/>
      <c r="J39" s="42"/>
      <c r="K39" s="2"/>
      <c r="L39" s="2"/>
      <c r="M39" s="2"/>
      <c r="N39" s="2"/>
      <c r="O39" s="2"/>
      <c r="P39" s="2"/>
      <c r="Q39" s="2"/>
      <c r="R39" s="2"/>
      <c r="S39" s="2"/>
      <c r="T39" s="6"/>
      <c r="X39" s="2"/>
    </row>
    <row r="40" spans="2:27">
      <c r="B40" s="326" t="s">
        <v>279</v>
      </c>
      <c r="C40" s="327" t="s">
        <v>353</v>
      </c>
      <c r="D40" s="328">
        <f>D35</f>
        <v>43.218000000000004</v>
      </c>
      <c r="E40" s="1302" t="s">
        <v>276</v>
      </c>
      <c r="F40" s="1303"/>
      <c r="G40" s="329"/>
      <c r="H40" s="330"/>
      <c r="I40" s="42"/>
      <c r="J40" s="42"/>
      <c r="K40" s="2"/>
      <c r="L40" s="2"/>
      <c r="M40" s="2"/>
      <c r="N40" s="2"/>
      <c r="O40" s="2"/>
      <c r="P40" s="2"/>
      <c r="Q40" s="2"/>
      <c r="R40" s="2"/>
      <c r="S40" s="2"/>
      <c r="T40" s="6"/>
      <c r="X40" s="2"/>
    </row>
    <row r="41" spans="2:27">
      <c r="B41" s="310"/>
      <c r="E41" s="316" t="s">
        <v>277</v>
      </c>
      <c r="F41" s="314" t="s">
        <v>278</v>
      </c>
      <c r="I41" s="42"/>
      <c r="J41" s="1172" t="s">
        <v>200</v>
      </c>
      <c r="K41" s="1256"/>
      <c r="L41" s="399"/>
      <c r="M41" s="399"/>
      <c r="N41" s="399"/>
      <c r="O41" s="399"/>
      <c r="P41" s="2"/>
      <c r="Q41" s="2"/>
      <c r="R41" s="2"/>
      <c r="S41" s="2"/>
      <c r="T41" s="6"/>
      <c r="X41" s="2"/>
    </row>
    <row r="42" spans="2:27">
      <c r="B42" s="230"/>
      <c r="C42" s="182" t="s">
        <v>275</v>
      </c>
      <c r="D42" s="41">
        <f>2*($C$4)/1000</f>
        <v>1.82</v>
      </c>
      <c r="E42" s="357">
        <f>$C$10</f>
        <v>1.82</v>
      </c>
      <c r="F42" s="317">
        <f>($F$10)/2-($C$4)/2000</f>
        <v>1.365</v>
      </c>
      <c r="G42" s="45" t="s">
        <v>354</v>
      </c>
      <c r="I42" s="42"/>
      <c r="J42" s="866"/>
      <c r="K42" s="689" t="s">
        <v>218</v>
      </c>
      <c r="L42" s="1232" t="str">
        <f>C18</f>
        <v>一般地(50cm)</v>
      </c>
      <c r="M42" s="1232"/>
      <c r="N42" s="400" t="s">
        <v>213</v>
      </c>
      <c r="O42" s="689">
        <f>IF(L42="一般地(50cm)",20,30)</f>
        <v>20</v>
      </c>
      <c r="P42" s="400" t="s">
        <v>374</v>
      </c>
      <c r="Q42" s="1261" t="s">
        <v>215</v>
      </c>
      <c r="R42" s="1258"/>
      <c r="S42" s="19">
        <f>INDEX(data!I23:'data'!I26,MATCH(L42,data!H23:'data'!H26,0))*O42</f>
        <v>1000</v>
      </c>
      <c r="T42" s="89" t="s">
        <v>127</v>
      </c>
      <c r="X42" s="2"/>
    </row>
    <row r="43" spans="2:27">
      <c r="B43" s="230"/>
      <c r="C43" s="354"/>
      <c r="D43" s="838" t="s">
        <v>267</v>
      </c>
      <c r="E43" s="839" t="s">
        <v>228</v>
      </c>
      <c r="F43" s="839" t="s">
        <v>229</v>
      </c>
      <c r="G43" s="45" t="s">
        <v>271</v>
      </c>
      <c r="I43" s="42"/>
      <c r="J43" s="866"/>
      <c r="K43" s="689" t="s">
        <v>219</v>
      </c>
      <c r="L43" s="688" t="str">
        <f>C19</f>
        <v>等　級　１</v>
      </c>
      <c r="M43" s="399"/>
      <c r="N43" s="399"/>
      <c r="O43" s="399"/>
      <c r="P43" s="2"/>
      <c r="Q43" s="2"/>
      <c r="R43" s="2"/>
      <c r="S43" s="2"/>
      <c r="T43" s="6"/>
      <c r="X43" s="43"/>
    </row>
    <row r="44" spans="2:27" ht="14.25" thickBot="1">
      <c r="B44" s="230"/>
      <c r="C44" s="316" t="s">
        <v>144</v>
      </c>
      <c r="D44" s="325">
        <f>($O$50)*($E$37)*($F$37)</f>
        <v>745.29</v>
      </c>
      <c r="E44" s="325">
        <f>($O$51)*($E$37)*($F$37)</f>
        <v>2342.6949</v>
      </c>
      <c r="F44" s="325">
        <f>($O$52)*($E$37)*($F$37)</f>
        <v>3025.8774000000003</v>
      </c>
      <c r="I44" s="42"/>
      <c r="J44" s="866"/>
      <c r="K44" s="689" t="s">
        <v>201</v>
      </c>
      <c r="L44" s="688" t="s">
        <v>372</v>
      </c>
      <c r="M44" s="1257" t="s">
        <v>373</v>
      </c>
      <c r="N44" s="1258"/>
      <c r="O44" s="222">
        <f>IF(H21="あり",1,IF(E21&gt;60,0,COS(1.5*PI()/180*(E21))^0.5))</f>
        <v>0.91732810180472024</v>
      </c>
      <c r="P44" s="2"/>
      <c r="Q44" s="2"/>
      <c r="R44" s="2"/>
      <c r="S44" s="2"/>
      <c r="T44" s="6"/>
      <c r="X44" s="2"/>
    </row>
    <row r="45" spans="2:27" ht="13.15" customHeight="1">
      <c r="B45" s="326" t="s">
        <v>355</v>
      </c>
      <c r="C45" s="327" t="s">
        <v>353</v>
      </c>
      <c r="D45" s="328">
        <f>D35</f>
        <v>43.218000000000004</v>
      </c>
      <c r="E45" s="1304" t="s">
        <v>276</v>
      </c>
      <c r="F45" s="1305"/>
      <c r="G45" s="329"/>
      <c r="H45" s="330"/>
      <c r="I45" s="42"/>
      <c r="J45" s="866"/>
      <c r="K45" s="764" t="s">
        <v>217</v>
      </c>
      <c r="L45" s="399"/>
      <c r="M45" s="399"/>
      <c r="N45" s="399"/>
      <c r="O45" s="402">
        <f>(100+C21^2)^0.5/10</f>
        <v>1.0770329614269007</v>
      </c>
      <c r="P45" s="2"/>
      <c r="Q45" s="2"/>
      <c r="R45" s="2"/>
      <c r="S45" s="2"/>
      <c r="T45" s="6"/>
      <c r="X45" s="2"/>
    </row>
    <row r="46" spans="2:27">
      <c r="B46" s="310"/>
      <c r="E46" s="316" t="s">
        <v>277</v>
      </c>
      <c r="F46" s="315" t="s">
        <v>278</v>
      </c>
      <c r="I46" s="42"/>
      <c r="J46" s="866"/>
      <c r="K46" s="689" t="s">
        <v>202</v>
      </c>
      <c r="L46" s="1261" t="s">
        <v>340</v>
      </c>
      <c r="M46" s="1258"/>
      <c r="N46" s="1258"/>
      <c r="O46" s="1258"/>
      <c r="P46" s="19">
        <f>ROUNDUP(S42*O44*IF(L42="一般地(50cm)",1,IF(L43="等　級　２",1.2,1)),0)</f>
        <v>918</v>
      </c>
      <c r="Q46" s="19" t="s">
        <v>127</v>
      </c>
      <c r="R46" s="2"/>
      <c r="S46" s="2"/>
      <c r="T46" s="6"/>
      <c r="X46" s="2"/>
    </row>
    <row r="47" spans="2:27">
      <c r="B47" s="230"/>
      <c r="C47" s="182" t="s">
        <v>275</v>
      </c>
      <c r="D47" s="41">
        <f>($C$4)/1000</f>
        <v>0.91</v>
      </c>
      <c r="E47" s="357">
        <f>$C$10</f>
        <v>1.82</v>
      </c>
      <c r="F47" s="317">
        <f>($F$10)/2-($C$4)/2000</f>
        <v>1.365</v>
      </c>
      <c r="G47" s="45" t="s">
        <v>354</v>
      </c>
      <c r="I47" s="42"/>
      <c r="J47" s="866"/>
      <c r="K47" s="689" t="s">
        <v>203</v>
      </c>
      <c r="L47" s="1261" t="s">
        <v>341</v>
      </c>
      <c r="M47" s="1258"/>
      <c r="N47" s="1258"/>
      <c r="O47" s="1258"/>
      <c r="P47" s="19">
        <f>ROUNDUP(0.7*S42*O44*IF(L42="一般地(50cm)",1,IF(L43="等　級　２",1.2,1)),0)</f>
        <v>643</v>
      </c>
      <c r="Q47" s="19" t="s">
        <v>127</v>
      </c>
      <c r="R47" s="2"/>
      <c r="S47" s="2"/>
      <c r="T47" s="6"/>
      <c r="X47" s="2"/>
    </row>
    <row r="48" spans="2:27">
      <c r="B48" s="230"/>
      <c r="C48" s="354"/>
      <c r="D48" s="838" t="s">
        <v>267</v>
      </c>
      <c r="E48" s="839" t="s">
        <v>228</v>
      </c>
      <c r="F48" s="839" t="s">
        <v>229</v>
      </c>
      <c r="G48" s="45" t="s">
        <v>271</v>
      </c>
      <c r="I48" s="42"/>
      <c r="J48" s="42"/>
      <c r="K48" s="2"/>
      <c r="L48" s="2"/>
      <c r="M48" s="2"/>
      <c r="N48" s="2"/>
      <c r="O48" s="2"/>
      <c r="P48" s="2"/>
      <c r="Q48" s="2"/>
      <c r="R48" s="2"/>
      <c r="S48" s="2"/>
      <c r="T48" s="6"/>
      <c r="X48" s="2"/>
    </row>
    <row r="49" spans="2:24">
      <c r="B49" s="230"/>
      <c r="C49" s="316" t="s">
        <v>368</v>
      </c>
      <c r="D49" s="350">
        <f>($O$50)*($E$37)*($F$37)</f>
        <v>745.29</v>
      </c>
      <c r="E49" s="350">
        <f>($O$51)*($E$37)*($F$37)</f>
        <v>2342.6949</v>
      </c>
      <c r="F49" s="350">
        <f>($O$52)*($E$37)*($F$37)</f>
        <v>3025.8774000000003</v>
      </c>
      <c r="H49" s="6"/>
      <c r="I49" s="2"/>
      <c r="J49" s="712"/>
      <c r="K49" s="1276" t="s">
        <v>352</v>
      </c>
      <c r="L49" s="1294"/>
      <c r="M49" s="769" t="s">
        <v>124</v>
      </c>
      <c r="N49" s="770" t="s">
        <v>206</v>
      </c>
      <c r="O49" s="827"/>
      <c r="P49" s="825"/>
      <c r="Q49" s="2"/>
      <c r="R49" s="2"/>
      <c r="S49" s="2"/>
      <c r="T49" s="867"/>
      <c r="X49" s="2"/>
    </row>
    <row r="50" spans="2:24" ht="14.25" thickBot="1">
      <c r="B50" s="353"/>
      <c r="C50" s="351" t="s">
        <v>369</v>
      </c>
      <c r="D50" s="350">
        <f>($O$50)*($E$37)*($F$37)</f>
        <v>745.29</v>
      </c>
      <c r="E50" s="350">
        <f>($O$51)*($E$37)*($F$37)</f>
        <v>2342.6949</v>
      </c>
      <c r="F50" s="350">
        <f>($O$52)*($E$37)*($F$37)</f>
        <v>3025.8774000000003</v>
      </c>
      <c r="H50" s="352"/>
      <c r="J50" s="42"/>
      <c r="K50" s="1230" t="s">
        <v>196</v>
      </c>
      <c r="L50" s="1229"/>
      <c r="M50" s="769">
        <f>N30</f>
        <v>300</v>
      </c>
      <c r="N50" s="771">
        <v>0</v>
      </c>
      <c r="O50" s="773">
        <f>(M50)+(N50)</f>
        <v>300</v>
      </c>
      <c r="P50" s="792"/>
      <c r="Q50" s="2"/>
      <c r="R50" s="2"/>
      <c r="S50" s="2"/>
      <c r="T50" s="6"/>
      <c r="X50" s="2"/>
    </row>
    <row r="51" spans="2:24">
      <c r="B51" s="326" t="s">
        <v>356</v>
      </c>
      <c r="C51" s="327" t="s">
        <v>353</v>
      </c>
      <c r="D51" s="328">
        <f>D35</f>
        <v>43.218000000000004</v>
      </c>
      <c r="E51" s="1302" t="s">
        <v>276</v>
      </c>
      <c r="F51" s="1303"/>
      <c r="G51" s="329"/>
      <c r="H51" s="330"/>
      <c r="I51" s="42"/>
      <c r="J51" s="42"/>
      <c r="K51" s="1230" t="s">
        <v>197</v>
      </c>
      <c r="L51" s="1229"/>
      <c r="M51" s="769">
        <f>M50</f>
        <v>300</v>
      </c>
      <c r="N51" s="771">
        <f>P47</f>
        <v>643</v>
      </c>
      <c r="O51" s="773">
        <f>(M51)+(N51)</f>
        <v>943</v>
      </c>
      <c r="P51" s="792"/>
      <c r="Q51" s="2"/>
      <c r="R51" s="2"/>
      <c r="S51" s="2"/>
      <c r="T51" s="6"/>
      <c r="X51" s="2"/>
    </row>
    <row r="52" spans="2:24">
      <c r="B52" s="230"/>
      <c r="C52" s="347"/>
      <c r="E52" s="316" t="s">
        <v>277</v>
      </c>
      <c r="F52" s="315" t="s">
        <v>278</v>
      </c>
      <c r="I52" s="42"/>
      <c r="J52" s="42"/>
      <c r="K52" s="1230" t="s">
        <v>198</v>
      </c>
      <c r="L52" s="1229"/>
      <c r="M52" s="769">
        <f>M50</f>
        <v>300</v>
      </c>
      <c r="N52" s="771">
        <f>P46</f>
        <v>918</v>
      </c>
      <c r="O52" s="773">
        <f>(M52)+(N52)</f>
        <v>1218</v>
      </c>
      <c r="P52" s="792"/>
      <c r="Q52" s="2"/>
      <c r="R52" s="2"/>
      <c r="S52" s="2"/>
      <c r="T52" s="6"/>
      <c r="X52" s="306"/>
    </row>
    <row r="53" spans="2:24">
      <c r="B53" s="230"/>
      <c r="C53" s="182" t="s">
        <v>275</v>
      </c>
      <c r="D53" s="41">
        <f>($C$4)*2/1000</f>
        <v>1.82</v>
      </c>
      <c r="E53" s="357">
        <f>$C$10</f>
        <v>1.82</v>
      </c>
      <c r="F53" s="317">
        <f>($F$10)/2-($C$4)/2000</f>
        <v>1.365</v>
      </c>
      <c r="G53" s="41" t="s">
        <v>354</v>
      </c>
      <c r="I53" s="42"/>
      <c r="J53" s="42"/>
      <c r="K53" s="1295" t="s">
        <v>257</v>
      </c>
      <c r="L53" s="1231"/>
      <c r="M53" s="769">
        <f>S28</f>
        <v>200</v>
      </c>
      <c r="N53" s="771">
        <v>0</v>
      </c>
      <c r="O53" s="773">
        <f>(M53)</f>
        <v>200</v>
      </c>
      <c r="P53" s="792"/>
      <c r="Q53" s="2"/>
      <c r="R53" s="2"/>
      <c r="S53" s="2"/>
      <c r="T53" s="6"/>
      <c r="X53" s="2"/>
    </row>
    <row r="54" spans="2:24">
      <c r="B54" s="310"/>
      <c r="C54" s="354"/>
      <c r="D54" s="838" t="s">
        <v>267</v>
      </c>
      <c r="E54" s="839" t="s">
        <v>228</v>
      </c>
      <c r="F54" s="839" t="s">
        <v>229</v>
      </c>
      <c r="G54" s="45" t="s">
        <v>271</v>
      </c>
      <c r="I54" s="42"/>
      <c r="J54" s="42"/>
      <c r="K54" s="1295" t="s">
        <v>358</v>
      </c>
      <c r="L54" s="1231"/>
      <c r="M54" s="865">
        <f>N36</f>
        <v>700</v>
      </c>
      <c r="N54" s="771">
        <v>0</v>
      </c>
      <c r="O54" s="773">
        <f>(M54)</f>
        <v>700</v>
      </c>
      <c r="P54" s="793" t="s">
        <v>121</v>
      </c>
      <c r="Q54" s="2"/>
      <c r="R54" s="2"/>
      <c r="S54" s="2"/>
      <c r="T54" s="6"/>
      <c r="X54" s="2"/>
    </row>
    <row r="55" spans="2:24" ht="14.25" thickBot="1">
      <c r="B55" s="230"/>
      <c r="C55" s="316" t="s">
        <v>144</v>
      </c>
      <c r="D55" s="325">
        <f>($O$50)*($E$37)*($F$37)</f>
        <v>745.29</v>
      </c>
      <c r="E55" s="325">
        <f>($O$51)*($E$37)*($F$37)</f>
        <v>2342.6949</v>
      </c>
      <c r="F55" s="325">
        <f>($O$52)*($E$37)*($F$37)</f>
        <v>3025.8774000000003</v>
      </c>
      <c r="G55" s="2"/>
      <c r="I55" s="42"/>
      <c r="J55" s="765"/>
      <c r="K55" s="14"/>
      <c r="L55" s="14"/>
      <c r="M55" s="14"/>
      <c r="N55" s="14"/>
      <c r="O55" s="14"/>
      <c r="P55" s="14"/>
      <c r="Q55" s="14"/>
      <c r="R55" s="14"/>
      <c r="S55" s="14"/>
      <c r="T55" s="15"/>
      <c r="X55" s="2"/>
    </row>
    <row r="56" spans="2:24">
      <c r="B56" s="902"/>
      <c r="C56" s="903" t="s">
        <v>101</v>
      </c>
      <c r="D56" s="904" t="s">
        <v>100</v>
      </c>
      <c r="E56" s="904" t="s">
        <v>102</v>
      </c>
      <c r="F56" s="905"/>
      <c r="G56" s="3"/>
      <c r="H56" s="4"/>
      <c r="X56" s="2"/>
    </row>
    <row r="57" spans="2:24" ht="14.25" thickBot="1">
      <c r="B57" s="725" t="s">
        <v>15</v>
      </c>
      <c r="C57" s="843"/>
      <c r="D57" s="841">
        <f>(C7)*(C63)*(C13)</f>
        <v>11025</v>
      </c>
      <c r="E57" s="844"/>
      <c r="F57" s="794" t="s">
        <v>11</v>
      </c>
      <c r="G57" s="2"/>
      <c r="H57" s="6"/>
      <c r="M57" s="2"/>
      <c r="P57" s="2"/>
      <c r="X57" s="2"/>
    </row>
    <row r="58" spans="2:24" ht="14.25" thickBot="1">
      <c r="B58" s="725" t="s">
        <v>14</v>
      </c>
      <c r="C58" s="842">
        <f>(D13)*((C7)*(C63)^2)/6</f>
        <v>192937.5</v>
      </c>
      <c r="D58" s="844"/>
      <c r="E58" s="844"/>
      <c r="F58" s="794" t="s">
        <v>38</v>
      </c>
      <c r="G58" s="2"/>
      <c r="H58" s="6"/>
      <c r="M58" s="639" t="s">
        <v>445</v>
      </c>
      <c r="N58" s="864"/>
      <c r="O58" s="804" t="s">
        <v>267</v>
      </c>
      <c r="P58" s="804" t="s">
        <v>228</v>
      </c>
      <c r="Q58" s="805" t="s">
        <v>229</v>
      </c>
    </row>
    <row r="59" spans="2:24">
      <c r="B59" s="725" t="s">
        <v>10</v>
      </c>
      <c r="C59" s="843"/>
      <c r="D59" s="844"/>
      <c r="E59" s="842">
        <f>(E13)*((C7)*(E63)^3)/12</f>
        <v>10129218.75</v>
      </c>
      <c r="F59" s="794" t="s">
        <v>39</v>
      </c>
      <c r="G59" s="2"/>
      <c r="H59" s="6"/>
      <c r="M59" s="1266" t="s">
        <v>273</v>
      </c>
      <c r="N59" s="621" t="s">
        <v>231</v>
      </c>
      <c r="O59" s="623" t="str">
        <f>(K84)</f>
        <v>◯</v>
      </c>
      <c r="P59" s="623" t="str">
        <f>(K88)</f>
        <v>×</v>
      </c>
      <c r="Q59" s="624" t="str">
        <f>(K92)</f>
        <v>×</v>
      </c>
      <c r="R59" s="1175" t="s">
        <v>44</v>
      </c>
      <c r="S59" s="1176"/>
    </row>
    <row r="60" spans="2:24" ht="12" customHeight="1" thickBot="1">
      <c r="B60" s="230"/>
      <c r="C60" s="182"/>
      <c r="D60" s="41"/>
      <c r="E60" s="41"/>
      <c r="F60" s="77"/>
      <c r="G60" s="2"/>
      <c r="H60" s="6"/>
      <c r="M60" s="1267"/>
      <c r="N60" s="621" t="s">
        <v>321</v>
      </c>
      <c r="O60" s="623" t="str">
        <f>(K190)</f>
        <v>◯</v>
      </c>
      <c r="P60" s="623" t="str">
        <f>(K199)</f>
        <v>◯</v>
      </c>
      <c r="Q60" s="624" t="str">
        <f>(K208)</f>
        <v>◯</v>
      </c>
      <c r="R60" s="1177"/>
      <c r="S60" s="1178"/>
    </row>
    <row r="61" spans="2:24" ht="15" thickTop="1" thickBot="1">
      <c r="B61" s="1289" t="s">
        <v>73</v>
      </c>
      <c r="C61" s="1309"/>
      <c r="D61" s="1309"/>
      <c r="E61" s="1309"/>
      <c r="F61" s="1284" t="s">
        <v>242</v>
      </c>
      <c r="G61" s="1306"/>
      <c r="H61" s="634"/>
      <c r="I61" s="2"/>
      <c r="M61" s="1268"/>
      <c r="N61" s="622" t="s">
        <v>343</v>
      </c>
      <c r="O61" s="625" t="str">
        <f>(K307)</f>
        <v>×</v>
      </c>
      <c r="P61" s="625" t="str">
        <f>(L316)</f>
        <v>×</v>
      </c>
      <c r="Q61" s="626" t="str">
        <f>(L325)</f>
        <v>×</v>
      </c>
      <c r="R61" s="1179" t="s">
        <v>43</v>
      </c>
      <c r="S61" s="1180"/>
    </row>
    <row r="62" spans="2:24" ht="14.25" thickBot="1">
      <c r="B62" s="1293" t="s">
        <v>44</v>
      </c>
      <c r="C62" s="1307"/>
      <c r="D62" s="1282" t="s">
        <v>43</v>
      </c>
      <c r="E62" s="1307"/>
      <c r="F62" s="1307"/>
      <c r="G62" s="1308"/>
      <c r="H62" s="345"/>
      <c r="I62" s="2"/>
      <c r="M62" s="1266" t="s">
        <v>279</v>
      </c>
      <c r="N62" s="621" t="s">
        <v>231</v>
      </c>
      <c r="O62" s="623" t="str">
        <f>(K103)</f>
        <v>◯</v>
      </c>
      <c r="P62" s="623" t="str">
        <f>(K107)</f>
        <v>×</v>
      </c>
      <c r="Q62" s="624" t="str">
        <f>(K111)</f>
        <v>×</v>
      </c>
      <c r="R62" s="1175" t="s">
        <v>44</v>
      </c>
      <c r="S62" s="1176"/>
    </row>
    <row r="63" spans="2:24" ht="14.25" thickBot="1">
      <c r="B63" s="849">
        <f>C7</f>
        <v>105</v>
      </c>
      <c r="C63" s="850">
        <f>D7</f>
        <v>105</v>
      </c>
      <c r="D63" s="847">
        <f>C7</f>
        <v>105</v>
      </c>
      <c r="E63" s="848">
        <f>E7</f>
        <v>105</v>
      </c>
      <c r="F63" s="1287">
        <f>IF(C18="一般地(50cm)",D185,D194)</f>
        <v>2155.0492599999998</v>
      </c>
      <c r="G63" s="1296"/>
      <c r="H63" s="346"/>
      <c r="M63" s="1267"/>
      <c r="N63" s="621" t="s">
        <v>321</v>
      </c>
      <c r="O63" s="623" t="str">
        <f>(K217)</f>
        <v>◯</v>
      </c>
      <c r="P63" s="623" t="str">
        <f>(K226)</f>
        <v>◯</v>
      </c>
      <c r="Q63" s="624" t="str">
        <f>(K235)</f>
        <v>◯</v>
      </c>
      <c r="R63" s="1275"/>
      <c r="S63" s="1196"/>
    </row>
    <row r="64" spans="2:24" ht="15" thickTop="1" thickBot="1">
      <c r="B64" s="347"/>
      <c r="C64" s="347"/>
      <c r="M64" s="1268"/>
      <c r="N64" s="622" t="s">
        <v>343</v>
      </c>
      <c r="O64" s="625" t="str">
        <f>(K334)</f>
        <v>×</v>
      </c>
      <c r="P64" s="625" t="str">
        <f>(L343)</f>
        <v>×</v>
      </c>
      <c r="Q64" s="626" t="str">
        <f>(L352)</f>
        <v>×</v>
      </c>
      <c r="R64" s="1179" t="s">
        <v>43</v>
      </c>
      <c r="S64" s="1240"/>
    </row>
    <row r="65" spans="2:19">
      <c r="B65" s="297" t="s">
        <v>231</v>
      </c>
      <c r="C65" s="206"/>
      <c r="D65" s="206"/>
      <c r="E65" s="241"/>
      <c r="F65" s="241"/>
      <c r="G65" s="241"/>
      <c r="H65" s="241"/>
      <c r="I65" s="241"/>
      <c r="J65" s="241"/>
      <c r="K65" s="242"/>
      <c r="M65" s="1269" t="s">
        <v>269</v>
      </c>
      <c r="N65" s="621" t="s">
        <v>231</v>
      </c>
      <c r="O65" s="623" t="str">
        <f>(K126)</f>
        <v>◯</v>
      </c>
      <c r="P65" s="623" t="str">
        <f>(K140)</f>
        <v>×</v>
      </c>
      <c r="Q65" s="624" t="str">
        <f>(K154)</f>
        <v>×</v>
      </c>
      <c r="R65" s="1175" t="s">
        <v>44</v>
      </c>
      <c r="S65" s="1176"/>
    </row>
    <row r="66" spans="2:19" ht="14.25" thickBot="1">
      <c r="B66" s="466" t="s">
        <v>448</v>
      </c>
      <c r="C66" s="244"/>
      <c r="D66" s="245"/>
      <c r="E66" s="245"/>
      <c r="F66" s="245"/>
      <c r="G66" s="245"/>
      <c r="H66" s="245"/>
      <c r="I66" s="245"/>
      <c r="J66" s="245"/>
      <c r="K66" s="246"/>
      <c r="M66" s="1267"/>
      <c r="N66" s="621" t="s">
        <v>321</v>
      </c>
      <c r="O66" s="623" t="str">
        <f>(K245)</f>
        <v>◯</v>
      </c>
      <c r="P66" s="623" t="str">
        <f>(K255)</f>
        <v>◯</v>
      </c>
      <c r="Q66" s="624" t="str">
        <f>(K265)</f>
        <v>◯</v>
      </c>
      <c r="R66" s="1275"/>
      <c r="S66" s="1196"/>
    </row>
    <row r="67" spans="2:19" ht="14.25" thickBot="1">
      <c r="B67" s="243"/>
      <c r="C67" s="342" t="s">
        <v>221</v>
      </c>
      <c r="D67" s="245"/>
      <c r="E67" s="117" t="s">
        <v>539</v>
      </c>
      <c r="F67" s="88">
        <f>(E26)</f>
        <v>1081.7179999999998</v>
      </c>
      <c r="G67" s="118">
        <f>($F$9)</f>
        <v>3.64</v>
      </c>
      <c r="H67" s="19" t="s">
        <v>88</v>
      </c>
      <c r="I67" s="125">
        <f>((F67)*(G67)*(G67))/8</f>
        <v>1791.5413515999999</v>
      </c>
      <c r="J67" s="19" t="s">
        <v>91</v>
      </c>
      <c r="K67" s="854" t="s">
        <v>267</v>
      </c>
      <c r="M67" s="1268"/>
      <c r="N67" s="622" t="s">
        <v>343</v>
      </c>
      <c r="O67" s="625" t="str">
        <f>(K365)</f>
        <v>×</v>
      </c>
      <c r="P67" s="625" t="str">
        <f>(L378)</f>
        <v>×</v>
      </c>
      <c r="Q67" s="626" t="str">
        <f>(L392)</f>
        <v>×</v>
      </c>
      <c r="R67" s="1179" t="s">
        <v>43</v>
      </c>
      <c r="S67" s="1240"/>
    </row>
    <row r="68" spans="2:19">
      <c r="B68" s="243"/>
      <c r="C68" s="244"/>
      <c r="D68" s="245"/>
      <c r="E68" s="247"/>
      <c r="F68" s="17" t="s">
        <v>18</v>
      </c>
      <c r="G68" s="344" t="s">
        <v>92</v>
      </c>
      <c r="H68" s="248"/>
      <c r="I68" s="248"/>
      <c r="J68" s="248"/>
      <c r="K68" s="875"/>
      <c r="L68" s="42"/>
      <c r="M68" s="1269" t="s">
        <v>270</v>
      </c>
      <c r="N68" s="621" t="s">
        <v>231</v>
      </c>
      <c r="O68" s="623" t="str">
        <f>(K165)</f>
        <v>◯</v>
      </c>
      <c r="P68" s="623" t="str">
        <f>(K169)</f>
        <v>×</v>
      </c>
      <c r="Q68" s="624" t="str">
        <f>(K173)</f>
        <v>×</v>
      </c>
      <c r="R68" s="1175" t="s">
        <v>44</v>
      </c>
      <c r="S68" s="1176"/>
    </row>
    <row r="69" spans="2:19" ht="14.25" thickBot="1">
      <c r="B69" s="243"/>
      <c r="C69" s="244"/>
      <c r="D69" s="245"/>
      <c r="E69" s="117" t="s">
        <v>539</v>
      </c>
      <c r="F69" s="88">
        <f>(E29)</f>
        <v>1724.7179999999998</v>
      </c>
      <c r="G69" s="118">
        <f>($F$9)</f>
        <v>3.64</v>
      </c>
      <c r="H69" s="19" t="s">
        <v>88</v>
      </c>
      <c r="I69" s="125">
        <f>((F69)*(G69)*(G69))/8</f>
        <v>2856.4779515999999</v>
      </c>
      <c r="J69" s="19" t="s">
        <v>91</v>
      </c>
      <c r="K69" s="851" t="s">
        <v>228</v>
      </c>
      <c r="L69" s="42"/>
      <c r="M69" s="1267"/>
      <c r="N69" s="621" t="s">
        <v>321</v>
      </c>
      <c r="O69" s="623" t="str">
        <f>(K274)</f>
        <v>◯</v>
      </c>
      <c r="P69" s="623" t="str">
        <f>(K283)</f>
        <v>◯</v>
      </c>
      <c r="Q69" s="624" t="str">
        <f>(K292)</f>
        <v>◯</v>
      </c>
      <c r="R69" s="1275"/>
      <c r="S69" s="1196"/>
    </row>
    <row r="70" spans="2:19" ht="14.25" thickBot="1">
      <c r="B70" s="310"/>
      <c r="C70" s="347"/>
      <c r="E70" s="247"/>
      <c r="F70" s="17" t="s">
        <v>18</v>
      </c>
      <c r="G70" s="344" t="s">
        <v>92</v>
      </c>
      <c r="H70" s="248"/>
      <c r="I70" s="248"/>
      <c r="J70" s="248"/>
      <c r="K70" s="876"/>
      <c r="L70" s="42"/>
      <c r="M70" s="1268"/>
      <c r="N70" s="622" t="s">
        <v>343</v>
      </c>
      <c r="O70" s="625" t="str">
        <f>(K401)</f>
        <v>×</v>
      </c>
      <c r="P70" s="625" t="str">
        <f>(L410)</f>
        <v>×</v>
      </c>
      <c r="Q70" s="626" t="str">
        <f>(L419)</f>
        <v>×</v>
      </c>
      <c r="R70" s="1179" t="s">
        <v>43</v>
      </c>
      <c r="S70" s="1240"/>
    </row>
    <row r="71" spans="2:19">
      <c r="B71" s="310"/>
      <c r="C71" s="347"/>
      <c r="E71" s="117" t="s">
        <v>618</v>
      </c>
      <c r="F71" s="88">
        <f>(E32)</f>
        <v>1999.7179999999998</v>
      </c>
      <c r="G71" s="118">
        <f>($F$9)</f>
        <v>3.64</v>
      </c>
      <c r="H71" s="19" t="s">
        <v>88</v>
      </c>
      <c r="I71" s="125">
        <f>((F71)*(G71)*(G71))/8</f>
        <v>3311.9329515999998</v>
      </c>
      <c r="J71" s="19" t="s">
        <v>91</v>
      </c>
      <c r="K71" s="851" t="s">
        <v>229</v>
      </c>
      <c r="L71" s="42"/>
    </row>
    <row r="72" spans="2:19">
      <c r="B72" s="310"/>
      <c r="C72" s="347"/>
      <c r="E72" s="247"/>
      <c r="F72" s="17" t="s">
        <v>18</v>
      </c>
      <c r="G72" s="344" t="s">
        <v>92</v>
      </c>
      <c r="H72" s="248"/>
      <c r="I72" s="248"/>
      <c r="J72" s="248"/>
      <c r="L72" s="42"/>
    </row>
    <row r="73" spans="2:19" ht="14.25" thickBot="1">
      <c r="B73" s="353"/>
      <c r="C73" s="355"/>
      <c r="D73" s="356"/>
      <c r="E73" s="356"/>
      <c r="F73" s="356"/>
      <c r="G73" s="356"/>
      <c r="H73" s="356"/>
      <c r="I73" s="356"/>
      <c r="J73" s="356"/>
      <c r="K73" s="352"/>
    </row>
    <row r="74" spans="2:19">
      <c r="B74" s="68" t="s">
        <v>273</v>
      </c>
      <c r="C74" s="343" t="s">
        <v>143</v>
      </c>
      <c r="D74" s="248"/>
      <c r="E74" s="248"/>
      <c r="F74" s="248"/>
      <c r="G74" s="248"/>
      <c r="H74" s="248"/>
      <c r="I74" s="248"/>
      <c r="J74" s="248"/>
      <c r="K74" s="877"/>
    </row>
    <row r="75" spans="2:19">
      <c r="B75" s="243"/>
      <c r="C75" s="342" t="s">
        <v>144</v>
      </c>
      <c r="D75" s="92"/>
      <c r="E75" s="92"/>
      <c r="F75" s="152" t="s">
        <v>145</v>
      </c>
      <c r="G75" s="19" t="s">
        <v>152</v>
      </c>
      <c r="H75" s="19"/>
      <c r="I75" s="19"/>
      <c r="J75" s="19"/>
      <c r="K75" s="875"/>
    </row>
    <row r="76" spans="2:19">
      <c r="B76" s="243"/>
      <c r="C76" s="96"/>
      <c r="D76" s="117" t="s">
        <v>578</v>
      </c>
      <c r="E76" s="102" t="s">
        <v>146</v>
      </c>
      <c r="F76" s="152">
        <f>D37</f>
        <v>0.91</v>
      </c>
      <c r="G76" s="19" t="s">
        <v>150</v>
      </c>
      <c r="H76" s="19"/>
      <c r="I76" s="159">
        <f>(D39)*(F76)*($F$9-F76)/($F$9)</f>
        <v>508.66042499999998</v>
      </c>
      <c r="J76" s="19" t="s">
        <v>91</v>
      </c>
      <c r="K76" s="853" t="s">
        <v>267</v>
      </c>
    </row>
    <row r="77" spans="2:19">
      <c r="B77" s="243"/>
      <c r="C77" s="96"/>
      <c r="D77" s="117" t="s">
        <v>579</v>
      </c>
      <c r="E77" s="102" t="s">
        <v>146</v>
      </c>
      <c r="F77" s="152">
        <f>D37</f>
        <v>0.91</v>
      </c>
      <c r="G77" s="19" t="s">
        <v>150</v>
      </c>
      <c r="H77" s="19"/>
      <c r="I77" s="159">
        <f>(E39)*(F77)*($F$9-F77)/($F$9)</f>
        <v>1598.8892692500001</v>
      </c>
      <c r="J77" s="19" t="s">
        <v>91</v>
      </c>
      <c r="K77" s="854" t="s">
        <v>228</v>
      </c>
    </row>
    <row r="78" spans="2:19">
      <c r="B78" s="243"/>
      <c r="C78" s="96"/>
      <c r="D78" s="117" t="s">
        <v>619</v>
      </c>
      <c r="E78" s="102" t="s">
        <v>146</v>
      </c>
      <c r="F78" s="152">
        <f>D37</f>
        <v>0.91</v>
      </c>
      <c r="G78" s="19" t="s">
        <v>150</v>
      </c>
      <c r="H78" s="19"/>
      <c r="I78" s="159">
        <f>(F39)*(F78)*($F$9-F78)/($F$9)</f>
        <v>2065.1613255000002</v>
      </c>
      <c r="J78" s="19" t="s">
        <v>91</v>
      </c>
      <c r="K78" s="854" t="s">
        <v>229</v>
      </c>
      <c r="L78" s="2"/>
    </row>
    <row r="79" spans="2:19">
      <c r="B79" s="243"/>
      <c r="C79" s="340"/>
      <c r="D79" s="278"/>
      <c r="E79" s="278"/>
      <c r="F79" s="278"/>
      <c r="G79" s="341" t="s">
        <v>366</v>
      </c>
      <c r="H79" s="341"/>
      <c r="I79" s="277">
        <f>($I$67)+I76</f>
        <v>2300.2017765999999</v>
      </c>
      <c r="J79" s="278" t="s">
        <v>91</v>
      </c>
      <c r="K79" s="878" t="s">
        <v>267</v>
      </c>
    </row>
    <row r="80" spans="2:19">
      <c r="B80" s="243"/>
      <c r="C80" s="96"/>
      <c r="D80" s="92"/>
      <c r="E80" s="92"/>
      <c r="F80" s="92"/>
      <c r="G80" s="92"/>
      <c r="H80" s="92"/>
      <c r="I80" s="277">
        <f>($I$69)+I77</f>
        <v>4455.3672208500002</v>
      </c>
      <c r="J80" s="19" t="s">
        <v>91</v>
      </c>
      <c r="K80" s="854" t="s">
        <v>228</v>
      </c>
    </row>
    <row r="81" spans="2:12">
      <c r="B81" s="243"/>
      <c r="C81" s="96"/>
      <c r="D81" s="92"/>
      <c r="E81" s="92"/>
      <c r="F81" s="92"/>
      <c r="G81" s="92"/>
      <c r="H81" s="92"/>
      <c r="I81" s="277">
        <f>($I$71)+I78</f>
        <v>5377.0942771</v>
      </c>
      <c r="J81" s="19" t="s">
        <v>91</v>
      </c>
      <c r="K81" s="854" t="s">
        <v>229</v>
      </c>
    </row>
    <row r="82" spans="2:12">
      <c r="B82" s="243"/>
      <c r="C82" s="342" t="s">
        <v>231</v>
      </c>
      <c r="D82" s="60" t="s">
        <v>581</v>
      </c>
      <c r="E82" s="279">
        <f>((I79))/($C$58)*1000</f>
        <v>11.922004673015872</v>
      </c>
      <c r="F82" s="114" t="s">
        <v>285</v>
      </c>
      <c r="G82" s="102" t="s">
        <v>267</v>
      </c>
      <c r="H82" s="92"/>
      <c r="I82" s="92"/>
      <c r="J82" s="245"/>
      <c r="K82" s="246"/>
    </row>
    <row r="83" spans="2:12">
      <c r="B83" s="243"/>
      <c r="C83" s="244"/>
      <c r="D83" s="990" t="s">
        <v>94</v>
      </c>
      <c r="E83" s="19" t="s">
        <v>89</v>
      </c>
      <c r="F83" s="119">
        <f>C14</f>
        <v>1</v>
      </c>
      <c r="G83" s="88">
        <f>1.1*(data!F11)/3</f>
        <v>13.019453333333333</v>
      </c>
      <c r="H83" s="120">
        <f>C14</f>
        <v>1</v>
      </c>
      <c r="I83" s="280">
        <f>(G83)*(H83)</f>
        <v>13.019453333333333</v>
      </c>
      <c r="J83" s="51" t="s">
        <v>20</v>
      </c>
      <c r="K83" s="246"/>
    </row>
    <row r="84" spans="2:12" ht="14.25" thickBot="1">
      <c r="B84" s="243"/>
      <c r="C84" s="244"/>
      <c r="D84" s="253"/>
      <c r="E84" s="254"/>
      <c r="F84" s="378" t="s">
        <v>371</v>
      </c>
      <c r="G84" s="897"/>
      <c r="H84" s="62" t="s">
        <v>17</v>
      </c>
      <c r="I84" s="254"/>
      <c r="J84" s="175" t="s">
        <v>322</v>
      </c>
      <c r="K84" s="619" t="str">
        <f>IF(E82&lt;=I83,"◯","×")</f>
        <v>◯</v>
      </c>
    </row>
    <row r="85" spans="2:12">
      <c r="B85" s="243"/>
      <c r="C85" s="244"/>
      <c r="D85" s="245"/>
      <c r="E85" s="245"/>
      <c r="F85" s="245"/>
      <c r="G85" s="898"/>
      <c r="H85" s="245"/>
      <c r="I85" s="245"/>
      <c r="J85" s="245"/>
      <c r="K85" s="246"/>
    </row>
    <row r="86" spans="2:12">
      <c r="B86" s="243"/>
      <c r="C86" s="244"/>
      <c r="D86" s="60" t="s">
        <v>582</v>
      </c>
      <c r="E86" s="279">
        <f>((I80))/($C$58)*1000</f>
        <v>23.092282323809528</v>
      </c>
      <c r="F86" s="114" t="s">
        <v>285</v>
      </c>
      <c r="G86" s="857" t="s">
        <v>228</v>
      </c>
      <c r="H86" s="92"/>
      <c r="I86" s="92"/>
      <c r="J86" s="245"/>
      <c r="K86" s="246"/>
    </row>
    <row r="87" spans="2:12">
      <c r="B87" s="243"/>
      <c r="C87" s="244"/>
      <c r="D87" s="990" t="s">
        <v>94</v>
      </c>
      <c r="E87" s="81" t="s">
        <v>288</v>
      </c>
      <c r="F87" s="119">
        <f>C14</f>
        <v>1</v>
      </c>
      <c r="G87" s="88">
        <f>1.3*1.1*(data!F11)/3</f>
        <v>16.925289333333335</v>
      </c>
      <c r="H87" s="120">
        <f>C14</f>
        <v>1</v>
      </c>
      <c r="I87" s="159">
        <f>(G87)*(H87)</f>
        <v>16.925289333333335</v>
      </c>
      <c r="J87" s="51" t="s">
        <v>20</v>
      </c>
      <c r="K87" s="246"/>
    </row>
    <row r="88" spans="2:12" ht="14.25" thickBot="1">
      <c r="B88" s="243"/>
      <c r="C88" s="244"/>
      <c r="D88" s="253"/>
      <c r="E88" s="254"/>
      <c r="F88" s="378" t="s">
        <v>371</v>
      </c>
      <c r="G88" s="897"/>
      <c r="H88" s="62" t="s">
        <v>17</v>
      </c>
      <c r="I88" s="254"/>
      <c r="J88" s="175" t="s">
        <v>322</v>
      </c>
      <c r="K88" s="619" t="str">
        <f>IF(E86&lt;=I87,"◯","×")</f>
        <v>×</v>
      </c>
    </row>
    <row r="89" spans="2:12">
      <c r="B89" s="243"/>
      <c r="C89" s="244"/>
      <c r="D89" s="245"/>
      <c r="E89" s="245"/>
      <c r="F89" s="245"/>
      <c r="G89" s="898"/>
      <c r="H89" s="245"/>
      <c r="I89" s="245"/>
      <c r="J89" s="245"/>
      <c r="K89" s="246"/>
    </row>
    <row r="90" spans="2:12">
      <c r="B90" s="243"/>
      <c r="C90" s="244"/>
      <c r="D90" s="60" t="s">
        <v>583</v>
      </c>
      <c r="E90" s="279">
        <f>((I81))/($C$58)*1000</f>
        <v>27.869617244444441</v>
      </c>
      <c r="F90" s="114" t="s">
        <v>285</v>
      </c>
      <c r="G90" s="857" t="s">
        <v>229</v>
      </c>
      <c r="H90" s="92"/>
      <c r="I90" s="92"/>
      <c r="J90" s="245"/>
      <c r="K90" s="246"/>
    </row>
    <row r="91" spans="2:12">
      <c r="B91" s="243"/>
      <c r="C91" s="244"/>
      <c r="D91" s="990" t="s">
        <v>94</v>
      </c>
      <c r="E91" s="81" t="s">
        <v>289</v>
      </c>
      <c r="F91" s="119">
        <f>C14</f>
        <v>1</v>
      </c>
      <c r="G91" s="159">
        <f>0.8*2*(data!F11)/3</f>
        <v>18.937386666666665</v>
      </c>
      <c r="H91" s="120">
        <f>C14</f>
        <v>1</v>
      </c>
      <c r="I91" s="159">
        <f>(G91)*(H91)</f>
        <v>18.937386666666665</v>
      </c>
      <c r="J91" s="51" t="s">
        <v>20</v>
      </c>
      <c r="K91" s="246"/>
      <c r="L91" s="2"/>
    </row>
    <row r="92" spans="2:12" ht="14.25" thickBot="1">
      <c r="B92" s="359"/>
      <c r="C92" s="360"/>
      <c r="D92" s="360"/>
      <c r="E92" s="361"/>
      <c r="F92" s="379" t="s">
        <v>371</v>
      </c>
      <c r="G92" s="361"/>
      <c r="H92" s="362" t="s">
        <v>17</v>
      </c>
      <c r="I92" s="363"/>
      <c r="J92" s="175" t="s">
        <v>322</v>
      </c>
      <c r="K92" s="619" t="str">
        <f>IF(E90&lt;=I91,"◯","×")</f>
        <v>×</v>
      </c>
      <c r="L92" s="2"/>
    </row>
    <row r="93" spans="2:12">
      <c r="B93" s="358" t="s">
        <v>279</v>
      </c>
      <c r="C93" s="343" t="s">
        <v>143</v>
      </c>
      <c r="D93" s="248"/>
      <c r="E93" s="248"/>
      <c r="F93" s="248"/>
      <c r="G93" s="248"/>
      <c r="H93" s="248"/>
      <c r="I93" s="248"/>
      <c r="J93" s="249"/>
      <c r="K93" s="267"/>
    </row>
    <row r="94" spans="2:12">
      <c r="B94" s="243"/>
      <c r="C94" s="342" t="s">
        <v>144</v>
      </c>
      <c r="D94" s="92"/>
      <c r="E94" s="92"/>
      <c r="F94" s="152" t="s">
        <v>145</v>
      </c>
      <c r="G94" s="19" t="s">
        <v>152</v>
      </c>
      <c r="H94" s="19"/>
      <c r="I94" s="19"/>
      <c r="J94" s="19"/>
      <c r="K94" s="246"/>
    </row>
    <row r="95" spans="2:12">
      <c r="B95" s="243"/>
      <c r="C95" s="96"/>
      <c r="D95" s="117" t="s">
        <v>578</v>
      </c>
      <c r="E95" s="102" t="s">
        <v>146</v>
      </c>
      <c r="F95" s="152">
        <f>D42</f>
        <v>1.82</v>
      </c>
      <c r="G95" s="19" t="s">
        <v>150</v>
      </c>
      <c r="H95" s="19"/>
      <c r="I95" s="159">
        <f>(D44)*(F95)*($F$9-F95)/($F$9)</f>
        <v>678.21390000000008</v>
      </c>
      <c r="J95" s="19" t="s">
        <v>91</v>
      </c>
      <c r="K95" s="854" t="s">
        <v>267</v>
      </c>
    </row>
    <row r="96" spans="2:12">
      <c r="B96" s="243"/>
      <c r="C96" s="96"/>
      <c r="D96" s="117" t="s">
        <v>579</v>
      </c>
      <c r="E96" s="102" t="s">
        <v>146</v>
      </c>
      <c r="F96" s="152">
        <f>D42</f>
        <v>1.82</v>
      </c>
      <c r="G96" s="19" t="s">
        <v>150</v>
      </c>
      <c r="H96" s="19"/>
      <c r="I96" s="159">
        <f>(E44)*(F96)*($F$9-F96)/($F$9)</f>
        <v>2131.852359</v>
      </c>
      <c r="J96" s="19" t="s">
        <v>91</v>
      </c>
      <c r="K96" s="854" t="s">
        <v>228</v>
      </c>
    </row>
    <row r="97" spans="2:11">
      <c r="B97" s="243"/>
      <c r="C97" s="96"/>
      <c r="D97" s="117" t="s">
        <v>619</v>
      </c>
      <c r="E97" s="102" t="s">
        <v>146</v>
      </c>
      <c r="F97" s="152">
        <f>D42</f>
        <v>1.82</v>
      </c>
      <c r="G97" s="19" t="s">
        <v>150</v>
      </c>
      <c r="H97" s="19"/>
      <c r="I97" s="159">
        <f>(F44)*(F97)*($F$9-F97)/($F$9)</f>
        <v>2753.5484340000003</v>
      </c>
      <c r="J97" s="19" t="s">
        <v>91</v>
      </c>
      <c r="K97" s="854" t="s">
        <v>229</v>
      </c>
    </row>
    <row r="98" spans="2:11">
      <c r="B98" s="243"/>
      <c r="C98" s="340"/>
      <c r="D98" s="278"/>
      <c r="E98" s="278"/>
      <c r="F98" s="278"/>
      <c r="G98" s="341" t="s">
        <v>366</v>
      </c>
      <c r="H98" s="341"/>
      <c r="I98" s="277">
        <f>($I$67)+I95</f>
        <v>2469.7552516000001</v>
      </c>
      <c r="J98" s="278" t="s">
        <v>91</v>
      </c>
      <c r="K98" s="878" t="s">
        <v>267</v>
      </c>
    </row>
    <row r="99" spans="2:11">
      <c r="B99" s="243"/>
      <c r="C99" s="96"/>
      <c r="D99" s="92"/>
      <c r="E99" s="92"/>
      <c r="F99" s="92"/>
      <c r="G99" s="92"/>
      <c r="H99" s="92"/>
      <c r="I99" s="277">
        <f>($I$69)+I96</f>
        <v>4988.3303106000003</v>
      </c>
      <c r="J99" s="19" t="s">
        <v>91</v>
      </c>
      <c r="K99" s="854" t="s">
        <v>228</v>
      </c>
    </row>
    <row r="100" spans="2:11">
      <c r="B100" s="243"/>
      <c r="C100" s="96"/>
      <c r="D100" s="92"/>
      <c r="E100" s="92"/>
      <c r="F100" s="92"/>
      <c r="G100" s="92"/>
      <c r="H100" s="92"/>
      <c r="I100" s="277">
        <f>($I$71)+I97</f>
        <v>6065.4813856000001</v>
      </c>
      <c r="J100" s="19" t="s">
        <v>91</v>
      </c>
      <c r="K100" s="854" t="s">
        <v>229</v>
      </c>
    </row>
    <row r="101" spans="2:11">
      <c r="B101" s="243"/>
      <c r="C101" s="342" t="s">
        <v>231</v>
      </c>
      <c r="D101" s="60" t="s">
        <v>581</v>
      </c>
      <c r="E101" s="279">
        <f>((I98))/($C$58)*1000</f>
        <v>12.800804673015874</v>
      </c>
      <c r="F101" s="114" t="s">
        <v>285</v>
      </c>
      <c r="G101" s="102" t="s">
        <v>267</v>
      </c>
      <c r="H101" s="92"/>
      <c r="I101" s="92"/>
      <c r="J101" s="245"/>
      <c r="K101" s="246"/>
    </row>
    <row r="102" spans="2:11">
      <c r="B102" s="243"/>
      <c r="C102" s="244"/>
      <c r="D102" s="990" t="s">
        <v>94</v>
      </c>
      <c r="E102" s="19" t="s">
        <v>89</v>
      </c>
      <c r="F102" s="119">
        <f>C14</f>
        <v>1</v>
      </c>
      <c r="G102" s="88">
        <f>1.1*(data!F11)/3</f>
        <v>13.019453333333333</v>
      </c>
      <c r="H102" s="120">
        <f>C14</f>
        <v>1</v>
      </c>
      <c r="I102" s="280">
        <f>(G102)*(H102)</f>
        <v>13.019453333333333</v>
      </c>
      <c r="J102" s="51" t="s">
        <v>20</v>
      </c>
      <c r="K102" s="246"/>
    </row>
    <row r="103" spans="2:11" ht="14.25" thickBot="1">
      <c r="B103" s="243"/>
      <c r="C103" s="244"/>
      <c r="D103" s="253"/>
      <c r="E103" s="254"/>
      <c r="F103" s="378" t="s">
        <v>371</v>
      </c>
      <c r="G103" s="897"/>
      <c r="H103" s="62" t="s">
        <v>17</v>
      </c>
      <c r="I103" s="254"/>
      <c r="J103" s="175" t="s">
        <v>322</v>
      </c>
      <c r="K103" s="619" t="str">
        <f>IF(E101&lt;=I102,"◯","×")</f>
        <v>◯</v>
      </c>
    </row>
    <row r="104" spans="2:11">
      <c r="B104" s="243"/>
      <c r="C104" s="244"/>
      <c r="D104" s="245"/>
      <c r="E104" s="245"/>
      <c r="F104" s="245"/>
      <c r="G104" s="898"/>
      <c r="H104" s="245"/>
      <c r="I104" s="245"/>
      <c r="J104" s="245"/>
      <c r="K104" s="246"/>
    </row>
    <row r="105" spans="2:11">
      <c r="B105" s="243"/>
      <c r="C105" s="244"/>
      <c r="D105" s="60" t="s">
        <v>582</v>
      </c>
      <c r="E105" s="279">
        <f>((I99))/($C$58)*1000</f>
        <v>25.854643657142859</v>
      </c>
      <c r="F105" s="114" t="s">
        <v>285</v>
      </c>
      <c r="G105" s="857" t="s">
        <v>228</v>
      </c>
      <c r="H105" s="92"/>
      <c r="I105" s="92"/>
      <c r="J105" s="245"/>
      <c r="K105" s="246"/>
    </row>
    <row r="106" spans="2:11">
      <c r="B106" s="243"/>
      <c r="C106" s="244"/>
      <c r="D106" s="990" t="s">
        <v>94</v>
      </c>
      <c r="E106" s="81" t="s">
        <v>288</v>
      </c>
      <c r="F106" s="119">
        <f>C14</f>
        <v>1</v>
      </c>
      <c r="G106" s="88">
        <f>1.3*1.1*(data!F11)/3</f>
        <v>16.925289333333335</v>
      </c>
      <c r="H106" s="120">
        <f>C14</f>
        <v>1</v>
      </c>
      <c r="I106" s="159">
        <f>(G106)*(H106)</f>
        <v>16.925289333333335</v>
      </c>
      <c r="J106" s="51" t="s">
        <v>20</v>
      </c>
      <c r="K106" s="246"/>
    </row>
    <row r="107" spans="2:11" ht="14.25" thickBot="1">
      <c r="B107" s="243"/>
      <c r="C107" s="244"/>
      <c r="D107" s="253"/>
      <c r="E107" s="254"/>
      <c r="F107" s="378" t="s">
        <v>371</v>
      </c>
      <c r="G107" s="897"/>
      <c r="H107" s="62" t="s">
        <v>17</v>
      </c>
      <c r="I107" s="254"/>
      <c r="J107" s="175" t="s">
        <v>322</v>
      </c>
      <c r="K107" s="619" t="str">
        <f>IF(E105&lt;=I106,"◯","×")</f>
        <v>×</v>
      </c>
    </row>
    <row r="108" spans="2:11">
      <c r="B108" s="243"/>
      <c r="C108" s="244"/>
      <c r="D108" s="245"/>
      <c r="E108" s="245"/>
      <c r="F108" s="245"/>
      <c r="G108" s="898"/>
      <c r="H108" s="245"/>
      <c r="I108" s="245"/>
      <c r="J108" s="245"/>
      <c r="K108" s="246"/>
    </row>
    <row r="109" spans="2:11">
      <c r="B109" s="243"/>
      <c r="C109" s="244"/>
      <c r="D109" s="60" t="s">
        <v>583</v>
      </c>
      <c r="E109" s="279">
        <f>((I100))/($C$58)*1000</f>
        <v>31.437545244444447</v>
      </c>
      <c r="F109" s="114" t="s">
        <v>285</v>
      </c>
      <c r="G109" s="857" t="s">
        <v>229</v>
      </c>
      <c r="H109" s="92"/>
      <c r="I109" s="92"/>
      <c r="J109" s="245"/>
      <c r="K109" s="246"/>
    </row>
    <row r="110" spans="2:11">
      <c r="B110" s="243"/>
      <c r="C110" s="244"/>
      <c r="D110" s="990" t="s">
        <v>94</v>
      </c>
      <c r="E110" s="81" t="s">
        <v>289</v>
      </c>
      <c r="F110" s="119">
        <f>C14</f>
        <v>1</v>
      </c>
      <c r="G110" s="159">
        <f>0.8*2*(data!F11)/3</f>
        <v>18.937386666666665</v>
      </c>
      <c r="H110" s="120">
        <f>C14</f>
        <v>1</v>
      </c>
      <c r="I110" s="159">
        <f>(G110)*(H110)</f>
        <v>18.937386666666665</v>
      </c>
      <c r="J110" s="51" t="s">
        <v>20</v>
      </c>
      <c r="K110" s="246"/>
    </row>
    <row r="111" spans="2:11" ht="14.25" thickBot="1">
      <c r="B111" s="359"/>
      <c r="C111" s="360"/>
      <c r="D111" s="360"/>
      <c r="E111" s="361"/>
      <c r="F111" s="379" t="s">
        <v>371</v>
      </c>
      <c r="G111" s="361"/>
      <c r="H111" s="362" t="s">
        <v>17</v>
      </c>
      <c r="I111" s="363"/>
      <c r="J111" s="175" t="s">
        <v>322</v>
      </c>
      <c r="K111" s="619" t="str">
        <f>IF(E109&lt;=I110,"◯","×")</f>
        <v>×</v>
      </c>
    </row>
    <row r="112" spans="2:11">
      <c r="B112" s="63" t="s">
        <v>269</v>
      </c>
      <c r="C112" s="58" t="s">
        <v>143</v>
      </c>
      <c r="D112" s="257"/>
      <c r="E112" s="257"/>
      <c r="F112" s="257"/>
      <c r="G112" s="257"/>
      <c r="H112" s="257"/>
      <c r="I112" s="257"/>
      <c r="J112" s="257"/>
      <c r="K112" s="258"/>
    </row>
    <row r="113" spans="2:12">
      <c r="B113" s="243"/>
      <c r="C113" s="301" t="s">
        <v>144</v>
      </c>
      <c r="D113" s="92"/>
      <c r="E113" s="92"/>
      <c r="F113" s="152" t="s">
        <v>145</v>
      </c>
      <c r="G113" s="19" t="s">
        <v>152</v>
      </c>
      <c r="H113" s="19"/>
      <c r="I113" s="19"/>
      <c r="J113" s="19"/>
      <c r="K113" s="246"/>
    </row>
    <row r="114" spans="2:12">
      <c r="B114" s="243"/>
      <c r="C114" s="96"/>
      <c r="D114" s="117" t="s">
        <v>584</v>
      </c>
      <c r="E114" s="102" t="s">
        <v>146</v>
      </c>
      <c r="F114" s="45">
        <f>D47</f>
        <v>0.91</v>
      </c>
      <c r="G114" s="19" t="s">
        <v>150</v>
      </c>
      <c r="H114" s="19"/>
      <c r="I114" s="159">
        <f>(D49)*(F114)*(F9-F114)/(F9)</f>
        <v>508.66042499999998</v>
      </c>
      <c r="J114" s="19" t="s">
        <v>91</v>
      </c>
      <c r="K114" s="246"/>
    </row>
    <row r="115" spans="2:12">
      <c r="B115" s="243"/>
      <c r="C115" s="301" t="s">
        <v>147</v>
      </c>
      <c r="D115" s="153"/>
      <c r="E115" s="92"/>
      <c r="F115" s="152" t="s">
        <v>145</v>
      </c>
      <c r="G115" s="19" t="s">
        <v>153</v>
      </c>
      <c r="H115" s="19"/>
      <c r="I115" s="19"/>
      <c r="J115" s="92"/>
      <c r="K115" s="246"/>
    </row>
    <row r="116" spans="2:12">
      <c r="B116" s="243"/>
      <c r="C116" s="96"/>
      <c r="D116" s="117" t="s">
        <v>585</v>
      </c>
      <c r="E116" s="102" t="s">
        <v>148</v>
      </c>
      <c r="F116" s="152">
        <f>(F114)*3</f>
        <v>2.73</v>
      </c>
      <c r="G116" s="19" t="s">
        <v>151</v>
      </c>
      <c r="H116" s="19"/>
      <c r="I116" s="159">
        <f>(D50)*(F116)*(F9-F116)/(F9)</f>
        <v>508.66042500000003</v>
      </c>
      <c r="J116" s="19" t="s">
        <v>91</v>
      </c>
      <c r="K116" s="246"/>
    </row>
    <row r="117" spans="2:12">
      <c r="B117" s="243"/>
      <c r="C117" s="300" t="s">
        <v>149</v>
      </c>
      <c r="D117" s="300"/>
      <c r="E117" s="32"/>
      <c r="F117" s="33"/>
      <c r="G117" s="248"/>
      <c r="H117" s="248"/>
      <c r="I117" s="248"/>
      <c r="J117" s="248"/>
      <c r="K117" s="246"/>
    </row>
    <row r="118" spans="2:12">
      <c r="B118" s="243"/>
      <c r="C118" s="244"/>
      <c r="D118" s="60" t="s">
        <v>586</v>
      </c>
      <c r="E118" s="616" t="s">
        <v>592</v>
      </c>
      <c r="F118" s="154">
        <f>IF(F114&gt;=F116,(F9-F114),F114)</f>
        <v>0.91</v>
      </c>
      <c r="G118" s="19">
        <f>IF(F114&gt;=F116,F9-F116,F116)</f>
        <v>2.73</v>
      </c>
      <c r="H118" s="155" t="s">
        <v>154</v>
      </c>
      <c r="I118" s="19">
        <f>(I114)+(I116)*(F118)/(G118)</f>
        <v>678.21389999999997</v>
      </c>
      <c r="J118" s="19" t="s">
        <v>91</v>
      </c>
      <c r="K118" s="89"/>
    </row>
    <row r="119" spans="2:12">
      <c r="B119" s="243"/>
      <c r="C119" s="300" t="s">
        <v>155</v>
      </c>
      <c r="D119" s="300"/>
      <c r="E119" s="40"/>
      <c r="F119" s="152"/>
      <c r="G119" s="19"/>
      <c r="H119" s="19"/>
      <c r="I119" s="19"/>
      <c r="J119" s="19"/>
      <c r="K119" s="1005">
        <f>MAX(I118,I120)</f>
        <v>678.21390000000008</v>
      </c>
    </row>
    <row r="120" spans="2:12">
      <c r="B120" s="243"/>
      <c r="C120" s="247"/>
      <c r="D120" s="60" t="s">
        <v>588</v>
      </c>
      <c r="E120" s="616" t="s">
        <v>595</v>
      </c>
      <c r="F120" s="282">
        <f>IF(I116=0,0,F9-G118)</f>
        <v>0.91000000000000014</v>
      </c>
      <c r="G120" s="157">
        <f>(F9-F120)</f>
        <v>2.73</v>
      </c>
      <c r="H120" s="155" t="s">
        <v>154</v>
      </c>
      <c r="I120" s="19">
        <f>(I116)+(I114)*(F120)/(G120)</f>
        <v>678.21390000000008</v>
      </c>
      <c r="J120" s="19" t="s">
        <v>91</v>
      </c>
      <c r="K120" s="89"/>
    </row>
    <row r="121" spans="2:12">
      <c r="B121" s="243"/>
      <c r="C121" s="301" t="s">
        <v>157</v>
      </c>
      <c r="D121" s="304"/>
      <c r="E121" s="158">
        <f>I67+(K119)</f>
        <v>2469.7552516000001</v>
      </c>
      <c r="F121" s="51" t="s">
        <v>91</v>
      </c>
      <c r="G121" s="472" t="s">
        <v>267</v>
      </c>
      <c r="H121" s="248"/>
      <c r="I121" s="248"/>
      <c r="J121" s="248"/>
      <c r="K121" s="246"/>
    </row>
    <row r="122" spans="2:12">
      <c r="B122" s="243"/>
      <c r="C122" s="247"/>
      <c r="D122" s="17"/>
      <c r="E122" s="305"/>
      <c r="F122" s="248"/>
      <c r="G122" s="248"/>
      <c r="H122" s="248"/>
      <c r="I122" s="248"/>
      <c r="J122" s="248"/>
      <c r="K122" s="246"/>
    </row>
    <row r="123" spans="2:12">
      <c r="B123" s="310"/>
      <c r="C123" s="252" t="s">
        <v>9</v>
      </c>
      <c r="D123" s="60" t="s">
        <v>581</v>
      </c>
      <c r="E123" s="60" t="s">
        <v>313</v>
      </c>
      <c r="F123" s="19" t="s">
        <v>21</v>
      </c>
      <c r="G123" s="159">
        <f>((E121)*1000)/(C58)</f>
        <v>12.800804673015874</v>
      </c>
      <c r="H123" s="19" t="s">
        <v>20</v>
      </c>
      <c r="I123" s="19"/>
      <c r="J123" s="19"/>
      <c r="K123" s="246"/>
      <c r="L123" s="42"/>
    </row>
    <row r="124" spans="2:12">
      <c r="B124" s="243"/>
      <c r="C124" s="252"/>
      <c r="D124" s="81"/>
      <c r="E124" s="19"/>
      <c r="F124" s="19"/>
      <c r="G124" s="19"/>
      <c r="H124" s="81"/>
      <c r="I124" s="19"/>
      <c r="J124" s="19"/>
      <c r="K124" s="246"/>
      <c r="L124" s="42"/>
    </row>
    <row r="125" spans="2:12">
      <c r="B125" s="243"/>
      <c r="C125" s="252"/>
      <c r="D125" s="990" t="s">
        <v>94</v>
      </c>
      <c r="E125" s="19" t="s">
        <v>89</v>
      </c>
      <c r="F125" s="119">
        <f>C14</f>
        <v>1</v>
      </c>
      <c r="G125" s="159">
        <f>1.1*(data!F11)/3</f>
        <v>13.019453333333333</v>
      </c>
      <c r="H125" s="120">
        <f>C14</f>
        <v>1</v>
      </c>
      <c r="I125" s="280">
        <f>(G125)*(H125)</f>
        <v>13.019453333333333</v>
      </c>
      <c r="J125" s="19" t="s">
        <v>20</v>
      </c>
      <c r="K125" s="246"/>
      <c r="L125" s="42"/>
    </row>
    <row r="126" spans="2:12" ht="14.25" thickBot="1">
      <c r="B126" s="243"/>
      <c r="C126" s="253"/>
      <c r="D126" s="253"/>
      <c r="E126" s="254"/>
      <c r="F126" s="378" t="s">
        <v>371</v>
      </c>
      <c r="G126" s="254"/>
      <c r="H126" s="62" t="s">
        <v>17</v>
      </c>
      <c r="I126" s="254"/>
      <c r="J126" s="175" t="s">
        <v>322</v>
      </c>
      <c r="K126" s="619" t="str">
        <f>IF(G123&lt;=I125,"◯","×")</f>
        <v>◯</v>
      </c>
      <c r="L126" s="42"/>
    </row>
    <row r="127" spans="2:12">
      <c r="B127" s="243"/>
      <c r="C127" s="301" t="s">
        <v>144</v>
      </c>
      <c r="D127" s="92"/>
      <c r="E127" s="92"/>
      <c r="F127" s="152" t="s">
        <v>145</v>
      </c>
      <c r="G127" s="19" t="s">
        <v>152</v>
      </c>
      <c r="H127" s="19"/>
      <c r="I127" s="19"/>
      <c r="J127" s="19"/>
      <c r="K127" s="246"/>
      <c r="L127" s="42"/>
    </row>
    <row r="128" spans="2:12">
      <c r="B128" s="243"/>
      <c r="C128" s="96"/>
      <c r="D128" s="117" t="s">
        <v>584</v>
      </c>
      <c r="E128" s="102" t="s">
        <v>146</v>
      </c>
      <c r="F128" s="152">
        <f>D47</f>
        <v>0.91</v>
      </c>
      <c r="G128" s="19" t="s">
        <v>150</v>
      </c>
      <c r="H128" s="19"/>
      <c r="I128" s="283">
        <f>(E49)*(F128)*(F9-F128)/(F9)</f>
        <v>1598.8892692500001</v>
      </c>
      <c r="J128" s="19" t="s">
        <v>91</v>
      </c>
      <c r="K128" s="246"/>
      <c r="L128" s="42"/>
    </row>
    <row r="129" spans="2:12">
      <c r="B129" s="243"/>
      <c r="C129" s="301" t="s">
        <v>147</v>
      </c>
      <c r="D129" s="153"/>
      <c r="E129" s="92"/>
      <c r="F129" s="152" t="s">
        <v>145</v>
      </c>
      <c r="G129" s="19" t="s">
        <v>153</v>
      </c>
      <c r="H129" s="19"/>
      <c r="I129" s="283"/>
      <c r="J129" s="92"/>
      <c r="K129" s="246"/>
      <c r="L129" s="42"/>
    </row>
    <row r="130" spans="2:12">
      <c r="B130" s="243"/>
      <c r="C130" s="96"/>
      <c r="D130" s="117" t="s">
        <v>585</v>
      </c>
      <c r="E130" s="102" t="s">
        <v>148</v>
      </c>
      <c r="F130" s="152">
        <f>(F128)*3</f>
        <v>2.73</v>
      </c>
      <c r="G130" s="19" t="s">
        <v>151</v>
      </c>
      <c r="H130" s="19"/>
      <c r="I130" s="283">
        <f>(E50)*(F130)*(F9-F130)/(F9)</f>
        <v>1598.8892692500001</v>
      </c>
      <c r="J130" s="19" t="s">
        <v>91</v>
      </c>
      <c r="K130" s="246"/>
      <c r="L130" s="42"/>
    </row>
    <row r="131" spans="2:12">
      <c r="B131" s="310"/>
      <c r="C131" s="300" t="s">
        <v>149</v>
      </c>
      <c r="D131" s="300"/>
      <c r="E131" s="32"/>
      <c r="F131" s="33"/>
      <c r="G131" s="248"/>
      <c r="H131" s="248"/>
      <c r="I131" s="260"/>
      <c r="J131" s="248"/>
      <c r="K131" s="246"/>
      <c r="L131" s="42"/>
    </row>
    <row r="132" spans="2:12">
      <c r="B132" s="310"/>
      <c r="C132" s="244"/>
      <c r="D132" s="60" t="s">
        <v>586</v>
      </c>
      <c r="E132" s="616" t="s">
        <v>592</v>
      </c>
      <c r="F132" s="154">
        <f>IF(F128&gt;=F130,(F9-F128),F128)</f>
        <v>0.91</v>
      </c>
      <c r="G132" s="19">
        <f>IF(F128&gt;=F130,F9-F130,F130)</f>
        <v>2.73</v>
      </c>
      <c r="H132" s="284" t="s">
        <v>154</v>
      </c>
      <c r="I132" s="283">
        <f>(I128)+(I130)*(F132)/(G132)</f>
        <v>2131.852359</v>
      </c>
      <c r="J132" s="19" t="s">
        <v>91</v>
      </c>
      <c r="K132" s="89"/>
      <c r="L132" s="42"/>
    </row>
    <row r="133" spans="2:12">
      <c r="B133" s="310"/>
      <c r="C133" s="300" t="s">
        <v>155</v>
      </c>
      <c r="D133" s="300"/>
      <c r="E133" s="40"/>
      <c r="F133" s="33"/>
      <c r="G133" s="19"/>
      <c r="H133" s="19"/>
      <c r="I133" s="283"/>
      <c r="J133" s="19"/>
      <c r="K133" s="1005">
        <f>MAX(I132,I134)</f>
        <v>2131.8523590000004</v>
      </c>
      <c r="L133" s="42"/>
    </row>
    <row r="134" spans="2:12">
      <c r="B134" s="310"/>
      <c r="C134" s="247"/>
      <c r="D134" s="60" t="s">
        <v>588</v>
      </c>
      <c r="E134" s="616" t="s">
        <v>620</v>
      </c>
      <c r="F134" s="282">
        <f>IF(I130=0,0,F9-G132)</f>
        <v>0.91000000000000014</v>
      </c>
      <c r="G134" s="157">
        <f>(F9-F134)</f>
        <v>2.73</v>
      </c>
      <c r="H134" s="155" t="s">
        <v>154</v>
      </c>
      <c r="I134" s="283">
        <f>(I130)+(I128)*(F134)/(G134)</f>
        <v>2131.8523590000004</v>
      </c>
      <c r="J134" s="19" t="s">
        <v>91</v>
      </c>
      <c r="K134" s="89"/>
      <c r="L134" s="42"/>
    </row>
    <row r="135" spans="2:12">
      <c r="B135" s="310"/>
      <c r="C135" s="301" t="s">
        <v>157</v>
      </c>
      <c r="D135" s="304"/>
      <c r="E135" s="158">
        <f>I69+(K133)</f>
        <v>4988.3303106000003</v>
      </c>
      <c r="F135" s="51" t="s">
        <v>91</v>
      </c>
      <c r="G135" s="851" t="s">
        <v>228</v>
      </c>
      <c r="H135" s="248"/>
      <c r="I135" s="248"/>
      <c r="J135" s="248"/>
      <c r="K135" s="246"/>
      <c r="L135" s="42"/>
    </row>
    <row r="136" spans="2:12">
      <c r="B136" s="310"/>
      <c r="C136" s="247"/>
      <c r="D136" s="17"/>
      <c r="E136" s="305"/>
      <c r="F136" s="248"/>
      <c r="G136" s="248"/>
      <c r="H136" s="248"/>
      <c r="I136" s="248"/>
      <c r="J136" s="248"/>
      <c r="K136" s="246"/>
      <c r="L136" s="42"/>
    </row>
    <row r="137" spans="2:12">
      <c r="B137" s="310"/>
      <c r="C137" s="585" t="s">
        <v>231</v>
      </c>
      <c r="D137" s="60" t="s">
        <v>582</v>
      </c>
      <c r="E137" s="60" t="s">
        <v>591</v>
      </c>
      <c r="F137" s="19" t="s">
        <v>21</v>
      </c>
      <c r="G137" s="159">
        <f>((E135)*1000)/(C58)</f>
        <v>25.854643657142859</v>
      </c>
      <c r="H137" s="19" t="s">
        <v>20</v>
      </c>
      <c r="I137" s="19"/>
      <c r="J137" s="19"/>
      <c r="K137" s="246"/>
      <c r="L137" s="42"/>
    </row>
    <row r="138" spans="2:12">
      <c r="B138" s="310"/>
      <c r="C138" s="252"/>
      <c r="D138" s="81"/>
      <c r="E138" s="19"/>
      <c r="F138" s="19"/>
      <c r="G138" s="19"/>
      <c r="H138" s="81"/>
      <c r="I138" s="19"/>
      <c r="J138" s="19"/>
      <c r="K138" s="246"/>
      <c r="L138" s="42"/>
    </row>
    <row r="139" spans="2:12">
      <c r="B139" s="310"/>
      <c r="C139" s="252"/>
      <c r="D139" s="990" t="s">
        <v>94</v>
      </c>
      <c r="E139" s="81" t="s">
        <v>288</v>
      </c>
      <c r="F139" s="119">
        <f>C14</f>
        <v>1</v>
      </c>
      <c r="G139" s="159">
        <f>1.3*1.1*(data!F11)/3</f>
        <v>16.925289333333335</v>
      </c>
      <c r="H139" s="120">
        <f>C14</f>
        <v>1</v>
      </c>
      <c r="I139" s="159">
        <f>(G139)*(H139)</f>
        <v>16.925289333333335</v>
      </c>
      <c r="J139" s="19" t="s">
        <v>20</v>
      </c>
      <c r="K139" s="246"/>
    </row>
    <row r="140" spans="2:12" ht="14.25" thickBot="1">
      <c r="B140" s="310"/>
      <c r="C140" s="253"/>
      <c r="D140" s="253"/>
      <c r="E140" s="254"/>
      <c r="F140" s="581" t="s">
        <v>371</v>
      </c>
      <c r="G140" s="254"/>
      <c r="H140" s="375" t="s">
        <v>17</v>
      </c>
      <c r="I140" s="254"/>
      <c r="J140" s="175" t="s">
        <v>322</v>
      </c>
      <c r="K140" s="619" t="str">
        <f>IF(G137&lt;=I139,"◯","×")</f>
        <v>×</v>
      </c>
    </row>
    <row r="141" spans="2:12">
      <c r="B141" s="310"/>
      <c r="C141" s="301" t="s">
        <v>144</v>
      </c>
      <c r="D141" s="92"/>
      <c r="E141" s="92"/>
      <c r="F141" s="152" t="s">
        <v>145</v>
      </c>
      <c r="G141" s="19" t="s">
        <v>152</v>
      </c>
      <c r="H141" s="19"/>
      <c r="I141" s="19"/>
      <c r="J141" s="19"/>
      <c r="K141" s="246"/>
      <c r="L141" s="42"/>
    </row>
    <row r="142" spans="2:12">
      <c r="B142" s="310"/>
      <c r="C142" s="96"/>
      <c r="D142" s="117" t="s">
        <v>584</v>
      </c>
      <c r="E142" s="102" t="s">
        <v>146</v>
      </c>
      <c r="F142" s="152">
        <f>D47</f>
        <v>0.91</v>
      </c>
      <c r="G142" s="19" t="s">
        <v>150</v>
      </c>
      <c r="H142" s="19"/>
      <c r="I142" s="283">
        <f>(F49)*(F142)*(F9-F142)/(F9)</f>
        <v>2065.1613255000002</v>
      </c>
      <c r="J142" s="19" t="s">
        <v>91</v>
      </c>
      <c r="K142" s="246"/>
      <c r="L142" s="42"/>
    </row>
    <row r="143" spans="2:12">
      <c r="B143" s="310"/>
      <c r="C143" s="301" t="s">
        <v>147</v>
      </c>
      <c r="D143" s="153"/>
      <c r="E143" s="92"/>
      <c r="F143" s="152" t="s">
        <v>145</v>
      </c>
      <c r="G143" s="19" t="s">
        <v>153</v>
      </c>
      <c r="H143" s="19"/>
      <c r="I143" s="283"/>
      <c r="J143" s="92"/>
      <c r="K143" s="246"/>
      <c r="L143" s="42"/>
    </row>
    <row r="144" spans="2:12">
      <c r="B144" s="310"/>
      <c r="C144" s="96"/>
      <c r="D144" s="117" t="s">
        <v>585</v>
      </c>
      <c r="E144" s="102" t="s">
        <v>148</v>
      </c>
      <c r="F144" s="152">
        <f>(F142)*3</f>
        <v>2.73</v>
      </c>
      <c r="G144" s="19" t="s">
        <v>151</v>
      </c>
      <c r="H144" s="19"/>
      <c r="I144" s="283">
        <f>(F50)*(F144)*(F9-F144)/(F9)</f>
        <v>2065.1613255000002</v>
      </c>
      <c r="J144" s="19" t="s">
        <v>91</v>
      </c>
      <c r="K144" s="246"/>
      <c r="L144" s="42"/>
    </row>
    <row r="145" spans="2:12">
      <c r="B145" s="310"/>
      <c r="C145" s="300" t="s">
        <v>149</v>
      </c>
      <c r="D145" s="300"/>
      <c r="E145" s="32"/>
      <c r="F145" s="33"/>
      <c r="G145" s="248"/>
      <c r="H145" s="248"/>
      <c r="I145" s="260"/>
      <c r="J145" s="248"/>
      <c r="K145" s="246"/>
      <c r="L145" s="42"/>
    </row>
    <row r="146" spans="2:12">
      <c r="B146" s="310"/>
      <c r="C146" s="244"/>
      <c r="D146" s="60" t="s">
        <v>586</v>
      </c>
      <c r="E146" s="616" t="s">
        <v>592</v>
      </c>
      <c r="F146" s="61">
        <f>IF(F142&gt;=F144,F9-F142,F142)</f>
        <v>0.91</v>
      </c>
      <c r="G146" s="77">
        <f>IF(F142&gt;=F144,F9-F144,F144)</f>
        <v>2.73</v>
      </c>
      <c r="H146" s="284" t="s">
        <v>154</v>
      </c>
      <c r="I146" s="283">
        <f>(I142)+(I144)*(F146)/(G146)</f>
        <v>2753.5484340000003</v>
      </c>
      <c r="J146" s="19" t="s">
        <v>91</v>
      </c>
      <c r="K146" s="89"/>
      <c r="L146" s="42"/>
    </row>
    <row r="147" spans="2:12">
      <c r="B147" s="310"/>
      <c r="C147" s="300" t="s">
        <v>155</v>
      </c>
      <c r="D147" s="300"/>
      <c r="E147" s="40"/>
      <c r="F147" s="33"/>
      <c r="G147" s="19"/>
      <c r="H147" s="19"/>
      <c r="I147" s="283"/>
      <c r="J147" s="19"/>
      <c r="K147" s="1005">
        <f>MAX(I146,I148)</f>
        <v>2753.5484340000003</v>
      </c>
      <c r="L147" s="42"/>
    </row>
    <row r="148" spans="2:12">
      <c r="B148" s="310"/>
      <c r="C148" s="247"/>
      <c r="D148" s="60" t="s">
        <v>588</v>
      </c>
      <c r="E148" s="616" t="s">
        <v>595</v>
      </c>
      <c r="F148" s="61">
        <f>IF(I116=0,0,F9-G118)</f>
        <v>0.91000000000000014</v>
      </c>
      <c r="G148" s="157">
        <f>(F9-F148)</f>
        <v>2.73</v>
      </c>
      <c r="H148" s="155" t="s">
        <v>154</v>
      </c>
      <c r="I148" s="283">
        <f>(I144)+(I142)*(F148)/(G148)</f>
        <v>2753.5484340000003</v>
      </c>
      <c r="J148" s="19" t="s">
        <v>91</v>
      </c>
      <c r="K148" s="89"/>
    </row>
    <row r="149" spans="2:12">
      <c r="B149" s="310"/>
      <c r="C149" s="301" t="s">
        <v>157</v>
      </c>
      <c r="D149" s="304"/>
      <c r="E149" s="158">
        <f>I71+(K147)</f>
        <v>6065.4813856000001</v>
      </c>
      <c r="F149" s="51" t="s">
        <v>91</v>
      </c>
      <c r="G149" s="851" t="s">
        <v>229</v>
      </c>
      <c r="H149" s="248"/>
      <c r="I149" s="248"/>
      <c r="J149" s="248"/>
      <c r="K149" s="246"/>
    </row>
    <row r="150" spans="2:12">
      <c r="B150" s="310"/>
      <c r="C150" s="247"/>
      <c r="D150" s="17"/>
      <c r="E150" s="305"/>
      <c r="F150" s="248"/>
      <c r="G150" s="248"/>
      <c r="H150" s="248"/>
      <c r="I150" s="248"/>
      <c r="J150" s="248"/>
      <c r="K150" s="246"/>
      <c r="L150" s="42"/>
    </row>
    <row r="151" spans="2:12">
      <c r="B151" s="310"/>
      <c r="C151" s="585" t="s">
        <v>231</v>
      </c>
      <c r="D151" s="60" t="s">
        <v>594</v>
      </c>
      <c r="E151" s="117" t="s">
        <v>337</v>
      </c>
      <c r="F151" s="19" t="s">
        <v>21</v>
      </c>
      <c r="G151" s="159">
        <f>((E149)*1000)/(C58)</f>
        <v>31.437545244444443</v>
      </c>
      <c r="H151" s="19" t="s">
        <v>20</v>
      </c>
      <c r="I151" s="19"/>
      <c r="J151" s="248"/>
      <c r="K151" s="246"/>
      <c r="L151" s="42"/>
    </row>
    <row r="152" spans="2:12">
      <c r="B152" s="310"/>
      <c r="C152" s="252"/>
      <c r="D152" s="81"/>
      <c r="E152" s="19"/>
      <c r="F152" s="19"/>
      <c r="G152" s="19"/>
      <c r="H152" s="81"/>
      <c r="I152" s="19"/>
      <c r="J152" s="248"/>
      <c r="K152" s="246"/>
      <c r="L152" s="42"/>
    </row>
    <row r="153" spans="2:12">
      <c r="B153" s="310"/>
      <c r="C153" s="252"/>
      <c r="D153" s="990" t="s">
        <v>94</v>
      </c>
      <c r="E153" s="81" t="s">
        <v>289</v>
      </c>
      <c r="F153" s="119">
        <f>C14</f>
        <v>1</v>
      </c>
      <c r="G153" s="159">
        <f>0.8*2*(data!F11)/3</f>
        <v>18.937386666666665</v>
      </c>
      <c r="H153" s="120">
        <f>C14</f>
        <v>1</v>
      </c>
      <c r="I153" s="159">
        <f>(G153)*(H153)</f>
        <v>18.937386666666665</v>
      </c>
      <c r="J153" s="51" t="s">
        <v>20</v>
      </c>
      <c r="K153" s="246"/>
      <c r="L153" s="42"/>
    </row>
    <row r="154" spans="2:12" ht="14.25" thickBot="1">
      <c r="B154" s="364"/>
      <c r="C154" s="360"/>
      <c r="D154" s="360"/>
      <c r="E154" s="361"/>
      <c r="F154" s="379" t="s">
        <v>371</v>
      </c>
      <c r="G154" s="361"/>
      <c r="H154" s="376" t="s">
        <v>17</v>
      </c>
      <c r="I154" s="363"/>
      <c r="J154" s="175" t="s">
        <v>322</v>
      </c>
      <c r="K154" s="619" t="str">
        <f>IF(G151&lt;=I153,"◯","×")</f>
        <v>×</v>
      </c>
      <c r="L154" s="42"/>
    </row>
    <row r="155" spans="2:12">
      <c r="B155" s="366" t="s">
        <v>270</v>
      </c>
      <c r="C155" s="343" t="s">
        <v>143</v>
      </c>
      <c r="D155" s="248"/>
      <c r="E155" s="248"/>
      <c r="F155" s="248"/>
      <c r="G155" s="248"/>
      <c r="H155" s="248"/>
      <c r="I155" s="248"/>
      <c r="J155" s="249"/>
      <c r="K155" s="267"/>
      <c r="L155" s="42"/>
    </row>
    <row r="156" spans="2:12">
      <c r="B156" s="310"/>
      <c r="C156" s="342" t="s">
        <v>144</v>
      </c>
      <c r="D156" s="92"/>
      <c r="E156" s="92"/>
      <c r="F156" s="152" t="s">
        <v>145</v>
      </c>
      <c r="G156" s="19" t="s">
        <v>152</v>
      </c>
      <c r="H156" s="19"/>
      <c r="I156" s="19"/>
      <c r="J156" s="19"/>
      <c r="K156" s="246"/>
      <c r="L156" s="42"/>
    </row>
    <row r="157" spans="2:12">
      <c r="B157" s="310"/>
      <c r="C157" s="96"/>
      <c r="D157" s="117" t="s">
        <v>578</v>
      </c>
      <c r="E157" s="102" t="s">
        <v>146</v>
      </c>
      <c r="F157" s="152">
        <f>D53</f>
        <v>1.82</v>
      </c>
      <c r="G157" s="19" t="s">
        <v>150</v>
      </c>
      <c r="H157" s="19"/>
      <c r="I157" s="159">
        <f>(D55)*(F157)*($F$9-F157)/($F$9)</f>
        <v>678.21390000000008</v>
      </c>
      <c r="J157" s="19" t="s">
        <v>91</v>
      </c>
      <c r="K157" s="854" t="s">
        <v>267</v>
      </c>
      <c r="L157" s="42"/>
    </row>
    <row r="158" spans="2:12">
      <c r="B158" s="310"/>
      <c r="C158" s="96"/>
      <c r="D158" s="117" t="s">
        <v>579</v>
      </c>
      <c r="E158" s="102" t="s">
        <v>146</v>
      </c>
      <c r="F158" s="152">
        <f>D53</f>
        <v>1.82</v>
      </c>
      <c r="G158" s="19" t="s">
        <v>150</v>
      </c>
      <c r="H158" s="19"/>
      <c r="I158" s="159">
        <f>(E55)*(F158)*($F$9-F158)/($F$9)</f>
        <v>2131.852359</v>
      </c>
      <c r="J158" s="19" t="s">
        <v>91</v>
      </c>
      <c r="K158" s="854" t="s">
        <v>228</v>
      </c>
      <c r="L158" s="42"/>
    </row>
    <row r="159" spans="2:12">
      <c r="B159" s="310"/>
      <c r="C159" s="96"/>
      <c r="D159" s="117" t="s">
        <v>619</v>
      </c>
      <c r="E159" s="102" t="s">
        <v>146</v>
      </c>
      <c r="F159" s="152">
        <f>D53</f>
        <v>1.82</v>
      </c>
      <c r="G159" s="19" t="s">
        <v>150</v>
      </c>
      <c r="H159" s="19"/>
      <c r="I159" s="159">
        <f>(F55)*(F159)*($F$9-F159)/($F$9)</f>
        <v>2753.5484340000003</v>
      </c>
      <c r="J159" s="19" t="s">
        <v>91</v>
      </c>
      <c r="K159" s="854" t="s">
        <v>229</v>
      </c>
      <c r="L159" s="42"/>
    </row>
    <row r="160" spans="2:12">
      <c r="B160" s="310"/>
      <c r="C160" s="365"/>
      <c r="D160" s="278"/>
      <c r="E160" s="278"/>
      <c r="F160" s="278"/>
      <c r="G160" s="341" t="s">
        <v>366</v>
      </c>
      <c r="H160" s="341"/>
      <c r="I160" s="277">
        <f>($I$67)+I157</f>
        <v>2469.7552516000001</v>
      </c>
      <c r="J160" s="278" t="s">
        <v>91</v>
      </c>
      <c r="K160" s="853" t="s">
        <v>267</v>
      </c>
      <c r="L160" s="42"/>
    </row>
    <row r="161" spans="2:12">
      <c r="B161" s="310"/>
      <c r="C161" s="96"/>
      <c r="D161" s="92"/>
      <c r="E161" s="92"/>
      <c r="F161" s="92"/>
      <c r="G161" s="92"/>
      <c r="H161" s="92"/>
      <c r="I161" s="277">
        <f>($I$69)+I158</f>
        <v>4988.3303106000003</v>
      </c>
      <c r="J161" s="19" t="s">
        <v>91</v>
      </c>
      <c r="K161" s="854" t="s">
        <v>228</v>
      </c>
      <c r="L161" s="42"/>
    </row>
    <row r="162" spans="2:12">
      <c r="B162" s="310"/>
      <c r="C162" s="96"/>
      <c r="D162" s="92"/>
      <c r="E162" s="92"/>
      <c r="F162" s="92"/>
      <c r="G162" s="92"/>
      <c r="H162" s="92"/>
      <c r="I162" s="277">
        <f>($I$71)+I159</f>
        <v>6065.4813856000001</v>
      </c>
      <c r="J162" s="19" t="s">
        <v>91</v>
      </c>
      <c r="K162" s="854" t="s">
        <v>229</v>
      </c>
      <c r="L162" s="42"/>
    </row>
    <row r="163" spans="2:12">
      <c r="B163" s="310"/>
      <c r="C163" s="342" t="s">
        <v>231</v>
      </c>
      <c r="D163" s="60" t="s">
        <v>581</v>
      </c>
      <c r="E163" s="279">
        <f>((I160))/($C$58)*1000</f>
        <v>12.800804673015874</v>
      </c>
      <c r="F163" s="114" t="s">
        <v>285</v>
      </c>
      <c r="G163" s="102" t="s">
        <v>267</v>
      </c>
      <c r="H163" s="92"/>
      <c r="I163" s="92"/>
      <c r="J163" s="245"/>
      <c r="K163" s="246"/>
      <c r="L163" s="42"/>
    </row>
    <row r="164" spans="2:12">
      <c r="B164" s="310"/>
      <c r="C164" s="244"/>
      <c r="D164" s="990" t="s">
        <v>94</v>
      </c>
      <c r="E164" s="19" t="s">
        <v>89</v>
      </c>
      <c r="F164" s="119">
        <f>C14</f>
        <v>1</v>
      </c>
      <c r="G164" s="88">
        <f>1.1*(data!F11)/3</f>
        <v>13.019453333333333</v>
      </c>
      <c r="H164" s="120">
        <f>C14</f>
        <v>1</v>
      </c>
      <c r="I164" s="280">
        <f>(G164)*(H164)</f>
        <v>13.019453333333333</v>
      </c>
      <c r="J164" s="51" t="s">
        <v>20</v>
      </c>
      <c r="K164" s="246"/>
      <c r="L164" s="42"/>
    </row>
    <row r="165" spans="2:12" ht="14.25" thickBot="1">
      <c r="B165" s="310"/>
      <c r="C165" s="244"/>
      <c r="D165" s="253"/>
      <c r="E165" s="254"/>
      <c r="F165" s="378" t="s">
        <v>371</v>
      </c>
      <c r="G165" s="897"/>
      <c r="H165" s="62" t="s">
        <v>17</v>
      </c>
      <c r="I165" s="254"/>
      <c r="J165" s="175" t="s">
        <v>322</v>
      </c>
      <c r="K165" s="619" t="str">
        <f>IF(E163&lt;=I164,"◯","×")</f>
        <v>◯</v>
      </c>
      <c r="L165" s="42"/>
    </row>
    <row r="166" spans="2:12">
      <c r="B166" s="310"/>
      <c r="C166" s="244"/>
      <c r="D166" s="245"/>
      <c r="E166" s="245"/>
      <c r="F166" s="245"/>
      <c r="G166" s="899"/>
      <c r="H166" s="245"/>
      <c r="I166" s="245"/>
      <c r="J166" s="245"/>
      <c r="K166" s="246"/>
      <c r="L166" s="42"/>
    </row>
    <row r="167" spans="2:12">
      <c r="B167" s="310"/>
      <c r="C167" s="244"/>
      <c r="D167" s="60" t="s">
        <v>582</v>
      </c>
      <c r="E167" s="279">
        <f>((I161))/($C$58)*1000</f>
        <v>25.854643657142859</v>
      </c>
      <c r="F167" s="114" t="s">
        <v>285</v>
      </c>
      <c r="G167" s="102" t="s">
        <v>228</v>
      </c>
      <c r="H167" s="92"/>
      <c r="I167" s="92"/>
      <c r="J167" s="245"/>
      <c r="K167" s="246"/>
      <c r="L167" s="42"/>
    </row>
    <row r="168" spans="2:12">
      <c r="B168" s="310"/>
      <c r="C168" s="244"/>
      <c r="D168" s="990" t="s">
        <v>94</v>
      </c>
      <c r="E168" s="81" t="s">
        <v>288</v>
      </c>
      <c r="F168" s="119">
        <f>C14</f>
        <v>1</v>
      </c>
      <c r="G168" s="88">
        <f>1.3*1.1*(data!F11)/3</f>
        <v>16.925289333333335</v>
      </c>
      <c r="H168" s="120">
        <f>C14</f>
        <v>1</v>
      </c>
      <c r="I168" s="159">
        <f>(G168)*(H168)</f>
        <v>16.925289333333335</v>
      </c>
      <c r="J168" s="51" t="s">
        <v>20</v>
      </c>
      <c r="K168" s="246"/>
      <c r="L168" s="42"/>
    </row>
    <row r="169" spans="2:12" ht="14.25" thickBot="1">
      <c r="B169" s="310"/>
      <c r="C169" s="244"/>
      <c r="D169" s="253"/>
      <c r="E169" s="271"/>
      <c r="F169" s="378" t="s">
        <v>371</v>
      </c>
      <c r="G169" s="900"/>
      <c r="H169" s="62" t="s">
        <v>17</v>
      </c>
      <c r="I169" s="254"/>
      <c r="J169" s="175" t="s">
        <v>322</v>
      </c>
      <c r="K169" s="619" t="str">
        <f>IF(E167&lt;=I168,"◯","×")</f>
        <v>×</v>
      </c>
      <c r="L169" s="42"/>
    </row>
    <row r="170" spans="2:12">
      <c r="B170" s="310"/>
      <c r="C170" s="244"/>
      <c r="D170" s="245"/>
      <c r="E170" s="245"/>
      <c r="F170" s="245"/>
      <c r="G170" s="899"/>
      <c r="H170" s="245"/>
      <c r="I170" s="245"/>
      <c r="J170" s="245"/>
      <c r="K170" s="246"/>
      <c r="L170" s="42"/>
    </row>
    <row r="171" spans="2:12">
      <c r="B171" s="310"/>
      <c r="C171" s="244"/>
      <c r="D171" s="60" t="s">
        <v>583</v>
      </c>
      <c r="E171" s="279">
        <f>((I162))/($C$58)*1000</f>
        <v>31.437545244444447</v>
      </c>
      <c r="F171" s="114" t="s">
        <v>285</v>
      </c>
      <c r="G171" s="102" t="s">
        <v>229</v>
      </c>
      <c r="H171" s="92"/>
      <c r="I171" s="92"/>
      <c r="J171" s="245"/>
      <c r="K171" s="246"/>
      <c r="L171" s="42"/>
    </row>
    <row r="172" spans="2:12">
      <c r="B172" s="310"/>
      <c r="C172" s="244"/>
      <c r="D172" s="990" t="s">
        <v>94</v>
      </c>
      <c r="E172" s="81" t="s">
        <v>289</v>
      </c>
      <c r="F172" s="119">
        <f>C14</f>
        <v>1</v>
      </c>
      <c r="G172" s="159">
        <f>0.8*2*(data!F11)/3</f>
        <v>18.937386666666665</v>
      </c>
      <c r="H172" s="120">
        <f>C14</f>
        <v>1</v>
      </c>
      <c r="I172" s="159">
        <f>(G172)*(H172)</f>
        <v>18.937386666666665</v>
      </c>
      <c r="J172" s="51" t="s">
        <v>20</v>
      </c>
      <c r="K172" s="246"/>
      <c r="L172" s="42"/>
    </row>
    <row r="173" spans="2:12" ht="14.25" thickBot="1">
      <c r="B173" s="367"/>
      <c r="C173" s="368"/>
      <c r="D173" s="368"/>
      <c r="E173" s="274"/>
      <c r="F173" s="13" t="s">
        <v>371</v>
      </c>
      <c r="G173" s="274"/>
      <c r="H173" s="377" t="s">
        <v>371</v>
      </c>
      <c r="I173" s="369"/>
      <c r="J173" s="175" t="s">
        <v>322</v>
      </c>
      <c r="K173" s="619" t="str">
        <f>IF(E171&lt;=I172,"◯","×")</f>
        <v>×</v>
      </c>
      <c r="L173" s="42"/>
    </row>
    <row r="174" spans="2:12">
      <c r="B174" s="297" t="s">
        <v>321</v>
      </c>
      <c r="C174" s="298"/>
      <c r="D174" s="298"/>
      <c r="E174" s="241"/>
      <c r="F174" s="241"/>
      <c r="G174" s="241"/>
      <c r="H174" s="241"/>
      <c r="I174" s="241"/>
      <c r="J174" s="241"/>
      <c r="K174" s="242"/>
      <c r="L174" s="42"/>
    </row>
    <row r="175" spans="2:12">
      <c r="B175" s="263"/>
      <c r="C175" s="252"/>
      <c r="D175" s="248"/>
      <c r="E175" s="248"/>
      <c r="F175" s="248"/>
      <c r="G175" s="248"/>
      <c r="H175" s="248"/>
      <c r="I175" s="248"/>
      <c r="J175" s="248"/>
      <c r="K175" s="382"/>
      <c r="L175" s="2"/>
    </row>
    <row r="176" spans="2:12">
      <c r="B176" s="243"/>
      <c r="C176" s="349" t="s">
        <v>221</v>
      </c>
      <c r="D176" s="60" t="s">
        <v>621</v>
      </c>
      <c r="E176" s="88">
        <f>(E26)</f>
        <v>1081.7179999999998</v>
      </c>
      <c r="F176" s="118">
        <f>($F$9)</f>
        <v>3.64</v>
      </c>
      <c r="G176" s="114" t="s">
        <v>95</v>
      </c>
      <c r="H176" s="125">
        <f>(E176)*(F176)/2</f>
        <v>1968.7267599999998</v>
      </c>
      <c r="I176" s="19" t="s">
        <v>31</v>
      </c>
      <c r="J176" s="248"/>
      <c r="K176" s="854" t="s">
        <v>267</v>
      </c>
      <c r="L176" s="2"/>
    </row>
    <row r="177" spans="2:12">
      <c r="B177" s="243"/>
      <c r="C177" s="252"/>
      <c r="D177" s="252"/>
      <c r="E177" s="17" t="s">
        <v>18</v>
      </c>
      <c r="F177" s="305" t="s">
        <v>92</v>
      </c>
      <c r="G177" s="248"/>
      <c r="H177" s="248"/>
      <c r="I177" s="248"/>
      <c r="J177" s="248"/>
      <c r="K177" s="875"/>
    </row>
    <row r="178" spans="2:12">
      <c r="B178" s="310"/>
      <c r="D178" s="60" t="s">
        <v>622</v>
      </c>
      <c r="E178" s="88">
        <f>(E29)</f>
        <v>1724.7179999999998</v>
      </c>
      <c r="F178" s="118">
        <f>($F$9)</f>
        <v>3.64</v>
      </c>
      <c r="G178" s="114" t="s">
        <v>95</v>
      </c>
      <c r="H178" s="125">
        <f>(E178)*(F178)/2</f>
        <v>3138.9867599999998</v>
      </c>
      <c r="I178" s="19" t="s">
        <v>31</v>
      </c>
      <c r="K178" s="854" t="s">
        <v>228</v>
      </c>
    </row>
    <row r="179" spans="2:12">
      <c r="B179" s="310"/>
      <c r="D179" s="252"/>
      <c r="E179" s="17" t="s">
        <v>18</v>
      </c>
      <c r="F179" s="348" t="s">
        <v>92</v>
      </c>
      <c r="G179" s="248"/>
      <c r="H179" s="248"/>
      <c r="I179" s="248"/>
      <c r="K179" s="901"/>
    </row>
    <row r="180" spans="2:12">
      <c r="B180" s="310"/>
      <c r="D180" s="60" t="s">
        <v>623</v>
      </c>
      <c r="E180" s="88">
        <f>(E32)</f>
        <v>1999.7179999999998</v>
      </c>
      <c r="F180" s="118">
        <f>($F$9)</f>
        <v>3.64</v>
      </c>
      <c r="G180" s="114" t="s">
        <v>95</v>
      </c>
      <c r="H180" s="125">
        <f>(E180)*(F180)/2</f>
        <v>3639.4867599999998</v>
      </c>
      <c r="I180" s="19" t="s">
        <v>31</v>
      </c>
      <c r="K180" s="854" t="s">
        <v>229</v>
      </c>
    </row>
    <row r="181" spans="2:12">
      <c r="B181" s="381"/>
      <c r="D181" s="252"/>
      <c r="E181" s="17" t="s">
        <v>18</v>
      </c>
      <c r="F181" s="348" t="s">
        <v>92</v>
      </c>
      <c r="G181" s="248"/>
      <c r="H181" s="248"/>
      <c r="I181" s="248"/>
      <c r="K181" s="380"/>
    </row>
    <row r="182" spans="2:12">
      <c r="B182" s="275" t="s">
        <v>273</v>
      </c>
      <c r="C182" s="65" t="s">
        <v>143</v>
      </c>
      <c r="D182" s="249"/>
      <c r="E182" s="249"/>
      <c r="F182" s="249"/>
      <c r="G182" s="249"/>
      <c r="H182" s="249"/>
      <c r="I182" s="249"/>
      <c r="J182" s="249"/>
      <c r="K182" s="250"/>
    </row>
    <row r="183" spans="2:12">
      <c r="B183" s="243"/>
      <c r="C183" s="60" t="s">
        <v>598</v>
      </c>
      <c r="D183" s="102" t="s">
        <v>158</v>
      </c>
      <c r="E183" s="158">
        <f>(D39)*(D37)/(F9)</f>
        <v>186.32249999999999</v>
      </c>
      <c r="F183" s="19" t="s">
        <v>31</v>
      </c>
      <c r="G183" s="60" t="s">
        <v>599</v>
      </c>
      <c r="H183" s="159">
        <f>(D39)*(F9-D37)/F9</f>
        <v>558.96749999999997</v>
      </c>
      <c r="I183" s="19" t="s">
        <v>31</v>
      </c>
      <c r="J183" s="248"/>
      <c r="K183" s="246"/>
      <c r="L183" s="42"/>
    </row>
    <row r="184" spans="2:12">
      <c r="B184" s="243"/>
      <c r="C184" s="96"/>
      <c r="D184" s="92"/>
      <c r="E184" s="92"/>
      <c r="F184" s="92"/>
      <c r="G184" s="92"/>
      <c r="H184" s="92"/>
      <c r="I184" s="92"/>
      <c r="J184" s="245"/>
      <c r="K184" s="246"/>
      <c r="L184" s="42"/>
    </row>
    <row r="185" spans="2:12">
      <c r="B185" s="243"/>
      <c r="C185" s="990" t="s">
        <v>166</v>
      </c>
      <c r="D185" s="88">
        <f>H176+E183</f>
        <v>2155.0492599999998</v>
      </c>
      <c r="E185" s="19" t="s">
        <v>31</v>
      </c>
      <c r="F185" s="102" t="s">
        <v>267</v>
      </c>
      <c r="G185" s="92"/>
      <c r="H185" s="92"/>
      <c r="I185" s="92"/>
      <c r="J185" s="245"/>
      <c r="K185" s="246"/>
      <c r="L185" s="42"/>
    </row>
    <row r="186" spans="2:12">
      <c r="B186" s="243"/>
      <c r="C186" s="252"/>
      <c r="D186" s="17"/>
      <c r="E186" s="305"/>
      <c r="F186" s="245"/>
      <c r="G186" s="245"/>
      <c r="H186" s="245"/>
      <c r="I186" s="245"/>
      <c r="J186" s="245"/>
      <c r="K186" s="246"/>
      <c r="L186" s="42"/>
    </row>
    <row r="187" spans="2:12">
      <c r="B187" s="243"/>
      <c r="C187" s="251" t="s">
        <v>293</v>
      </c>
      <c r="D187" s="60" t="s">
        <v>600</v>
      </c>
      <c r="E187" s="93" t="s">
        <v>32</v>
      </c>
      <c r="F187" s="125">
        <f>D185</f>
        <v>2155.0492599999998</v>
      </c>
      <c r="G187" s="123">
        <f>(D57)</f>
        <v>11025</v>
      </c>
      <c r="H187" s="159">
        <f>1.5*(F187)/(G187)</f>
        <v>0.29320398095238093</v>
      </c>
      <c r="I187" s="81" t="s">
        <v>36</v>
      </c>
      <c r="J187" s="245"/>
      <c r="K187" s="246"/>
      <c r="L187" s="42"/>
    </row>
    <row r="188" spans="2:12">
      <c r="B188" s="243"/>
      <c r="C188" s="244"/>
      <c r="D188" s="81"/>
      <c r="E188" s="19"/>
      <c r="F188" s="19"/>
      <c r="G188" s="114" t="s">
        <v>315</v>
      </c>
      <c r="H188" s="92"/>
      <c r="I188" s="19"/>
      <c r="J188" s="245"/>
      <c r="K188" s="246"/>
      <c r="L188" s="42"/>
    </row>
    <row r="189" spans="2:12">
      <c r="B189" s="243"/>
      <c r="C189" s="244"/>
      <c r="D189" s="991" t="s">
        <v>94</v>
      </c>
      <c r="E189" s="92" t="s">
        <v>89</v>
      </c>
      <c r="F189" s="119">
        <f>C14</f>
        <v>1</v>
      </c>
      <c r="G189" s="92">
        <f>1.1*(data!I11)/3</f>
        <v>0.66</v>
      </c>
      <c r="H189" s="120">
        <f>C14</f>
        <v>1</v>
      </c>
      <c r="I189" s="19">
        <f>(G189)*(H189)</f>
        <v>0.66</v>
      </c>
      <c r="J189" s="252" t="s">
        <v>36</v>
      </c>
      <c r="K189" s="246"/>
    </row>
    <row r="190" spans="2:12" ht="14.25" thickBot="1">
      <c r="B190" s="243"/>
      <c r="C190" s="253"/>
      <c r="D190" s="253"/>
      <c r="E190" s="254"/>
      <c r="F190" s="253" t="s">
        <v>17</v>
      </c>
      <c r="G190" s="254"/>
      <c r="H190" s="62" t="s">
        <v>17</v>
      </c>
      <c r="I190" s="254"/>
      <c r="J190" s="175" t="s">
        <v>322</v>
      </c>
      <c r="K190" s="619" t="str">
        <f>IF(H187&lt;=I189,"◯","×")</f>
        <v>◯</v>
      </c>
    </row>
    <row r="191" spans="2:12">
      <c r="B191" s="243"/>
      <c r="C191" s="59" t="s">
        <v>143</v>
      </c>
      <c r="D191" s="249"/>
      <c r="E191" s="249"/>
      <c r="F191" s="249"/>
      <c r="G191" s="249"/>
      <c r="H191" s="249"/>
      <c r="I191" s="249"/>
      <c r="J191" s="245"/>
      <c r="K191" s="250"/>
    </row>
    <row r="192" spans="2:12">
      <c r="B192" s="243"/>
      <c r="C192" s="60" t="s">
        <v>598</v>
      </c>
      <c r="D192" s="102" t="s">
        <v>158</v>
      </c>
      <c r="E192" s="158">
        <f>(E39)*(D37)/(F9)</f>
        <v>585.67372499999999</v>
      </c>
      <c r="F192" s="19" t="s">
        <v>31</v>
      </c>
      <c r="G192" s="60" t="s">
        <v>599</v>
      </c>
      <c r="H192" s="159">
        <f>(E39)*(F9-D37)/F9</f>
        <v>1757.0211749999999</v>
      </c>
      <c r="I192" s="19" t="s">
        <v>31</v>
      </c>
      <c r="J192" s="245"/>
      <c r="K192" s="246"/>
    </row>
    <row r="193" spans="2:11">
      <c r="B193" s="243"/>
      <c r="C193" s="96"/>
      <c r="D193" s="92"/>
      <c r="E193" s="92"/>
      <c r="F193" s="92"/>
      <c r="G193" s="92"/>
      <c r="H193" s="92"/>
      <c r="I193" s="92"/>
      <c r="J193" s="245"/>
      <c r="K193" s="246"/>
    </row>
    <row r="194" spans="2:11">
      <c r="B194" s="243"/>
      <c r="C194" s="990" t="s">
        <v>166</v>
      </c>
      <c r="D194" s="88">
        <f>H178+E192</f>
        <v>3724.6604849999999</v>
      </c>
      <c r="E194" s="19" t="s">
        <v>31</v>
      </c>
      <c r="F194" s="857" t="s">
        <v>228</v>
      </c>
      <c r="G194" s="92"/>
      <c r="H194" s="92"/>
      <c r="I194" s="92"/>
      <c r="J194" s="245"/>
      <c r="K194" s="246"/>
    </row>
    <row r="195" spans="2:11">
      <c r="B195" s="243"/>
      <c r="C195" s="252"/>
      <c r="D195" s="17"/>
      <c r="E195" s="321"/>
      <c r="F195" s="245"/>
      <c r="G195" s="245"/>
      <c r="H195" s="245"/>
      <c r="I195" s="245"/>
      <c r="J195" s="245"/>
      <c r="K195" s="246"/>
    </row>
    <row r="196" spans="2:11">
      <c r="B196" s="243"/>
      <c r="C196" s="251" t="s">
        <v>293</v>
      </c>
      <c r="D196" s="60" t="s">
        <v>624</v>
      </c>
      <c r="E196" s="93" t="s">
        <v>32</v>
      </c>
      <c r="F196" s="125">
        <f>D194</f>
        <v>3724.6604849999999</v>
      </c>
      <c r="G196" s="123">
        <f>(D57)</f>
        <v>11025</v>
      </c>
      <c r="H196" s="159">
        <f>1.5*(F196)/(G196)</f>
        <v>0.5067565285714285</v>
      </c>
      <c r="I196" s="81" t="s">
        <v>36</v>
      </c>
      <c r="J196" s="245"/>
      <c r="K196" s="246"/>
    </row>
    <row r="197" spans="2:11">
      <c r="B197" s="243"/>
      <c r="C197" s="244"/>
      <c r="D197" s="81"/>
      <c r="E197" s="19"/>
      <c r="F197" s="19"/>
      <c r="G197" s="114" t="s">
        <v>315</v>
      </c>
      <c r="H197" s="92"/>
      <c r="I197" s="19"/>
      <c r="J197" s="245"/>
      <c r="K197" s="246"/>
    </row>
    <row r="198" spans="2:11">
      <c r="B198" s="243"/>
      <c r="C198" s="244"/>
      <c r="D198" s="991" t="s">
        <v>94</v>
      </c>
      <c r="E198" s="81" t="s">
        <v>288</v>
      </c>
      <c r="F198" s="119">
        <f>C14</f>
        <v>1</v>
      </c>
      <c r="G198" s="92">
        <f>1.3*1.1*(data!I11)/3</f>
        <v>0.8580000000000001</v>
      </c>
      <c r="H198" s="120">
        <f>C14</f>
        <v>1</v>
      </c>
      <c r="I198" s="91">
        <f>(G198)*(H198)</f>
        <v>0.8580000000000001</v>
      </c>
      <c r="J198" s="252" t="s">
        <v>36</v>
      </c>
      <c r="K198" s="246"/>
    </row>
    <row r="199" spans="2:11" ht="14.25" thickBot="1">
      <c r="B199" s="243"/>
      <c r="C199" s="253"/>
      <c r="D199" s="253"/>
      <c r="E199" s="254"/>
      <c r="F199" s="253" t="s">
        <v>17</v>
      </c>
      <c r="G199" s="254"/>
      <c r="H199" s="62" t="s">
        <v>17</v>
      </c>
      <c r="I199" s="254"/>
      <c r="J199" s="175" t="s">
        <v>322</v>
      </c>
      <c r="K199" s="619" t="str">
        <f>IF(H196&lt;=I198,"◯","×")</f>
        <v>◯</v>
      </c>
    </row>
    <row r="200" spans="2:11">
      <c r="B200" s="243"/>
      <c r="C200" s="59" t="s">
        <v>143</v>
      </c>
      <c r="D200" s="249"/>
      <c r="E200" s="249"/>
      <c r="F200" s="249"/>
      <c r="G200" s="249"/>
      <c r="H200" s="249"/>
      <c r="I200" s="249"/>
      <c r="J200" s="245"/>
      <c r="K200" s="246"/>
    </row>
    <row r="201" spans="2:11">
      <c r="B201" s="243"/>
      <c r="C201" s="60" t="s">
        <v>598</v>
      </c>
      <c r="D201" s="102" t="s">
        <v>158</v>
      </c>
      <c r="E201" s="158">
        <f>(F39)*(D37)/(F9)</f>
        <v>756.46935000000008</v>
      </c>
      <c r="F201" s="19" t="s">
        <v>31</v>
      </c>
      <c r="G201" s="60" t="s">
        <v>599</v>
      </c>
      <c r="H201" s="159">
        <f>(F39)*(F9-D37)/F9</f>
        <v>2269.40805</v>
      </c>
      <c r="I201" s="19" t="s">
        <v>31</v>
      </c>
      <c r="J201" s="245"/>
      <c r="K201" s="246"/>
    </row>
    <row r="202" spans="2:11">
      <c r="B202" s="243"/>
      <c r="C202" s="96"/>
      <c r="D202" s="92"/>
      <c r="E202" s="92"/>
      <c r="F202" s="92"/>
      <c r="G202" s="92"/>
      <c r="H202" s="92"/>
      <c r="I202" s="92"/>
      <c r="J202" s="245"/>
      <c r="K202" s="246"/>
    </row>
    <row r="203" spans="2:11">
      <c r="B203" s="243"/>
      <c r="C203" s="890" t="s">
        <v>166</v>
      </c>
      <c r="D203" s="88">
        <f>H180+E201</f>
        <v>4395.9561100000001</v>
      </c>
      <c r="E203" s="19" t="s">
        <v>31</v>
      </c>
      <c r="F203" s="857" t="s">
        <v>229</v>
      </c>
      <c r="G203" s="92"/>
      <c r="H203" s="92"/>
      <c r="I203" s="92"/>
      <c r="J203" s="245"/>
      <c r="K203" s="246"/>
    </row>
    <row r="204" spans="2:11">
      <c r="B204" s="243"/>
      <c r="C204" s="252"/>
      <c r="D204" s="17"/>
      <c r="E204" s="321"/>
      <c r="F204" s="245"/>
      <c r="G204" s="245"/>
      <c r="H204" s="245"/>
      <c r="I204" s="245"/>
      <c r="J204" s="245"/>
      <c r="K204" s="246"/>
    </row>
    <row r="205" spans="2:11">
      <c r="B205" s="243"/>
      <c r="C205" s="585" t="s">
        <v>293</v>
      </c>
      <c r="D205" s="60" t="s">
        <v>603</v>
      </c>
      <c r="E205" s="93" t="s">
        <v>32</v>
      </c>
      <c r="F205" s="125">
        <f>D203</f>
        <v>4395.9561100000001</v>
      </c>
      <c r="G205" s="123">
        <f>(D57)</f>
        <v>11025</v>
      </c>
      <c r="H205" s="159">
        <f>1.5*(F205)/(G205)</f>
        <v>0.59808926666666673</v>
      </c>
      <c r="I205" s="81" t="s">
        <v>36</v>
      </c>
      <c r="J205" s="245"/>
      <c r="K205" s="246"/>
    </row>
    <row r="206" spans="2:11">
      <c r="B206" s="243"/>
      <c r="C206" s="244"/>
      <c r="D206" s="81"/>
      <c r="E206" s="19"/>
      <c r="F206" s="19"/>
      <c r="G206" s="114" t="s">
        <v>315</v>
      </c>
      <c r="H206" s="92"/>
      <c r="I206" s="19"/>
      <c r="J206" s="245"/>
      <c r="K206" s="246"/>
    </row>
    <row r="207" spans="2:11">
      <c r="B207" s="243"/>
      <c r="C207" s="244"/>
      <c r="D207" s="991" t="s">
        <v>94</v>
      </c>
      <c r="E207" s="81" t="s">
        <v>289</v>
      </c>
      <c r="F207" s="119">
        <f>C14</f>
        <v>1</v>
      </c>
      <c r="G207" s="92">
        <f>0.8*2*(data!I11)/3</f>
        <v>0.96000000000000008</v>
      </c>
      <c r="H207" s="120">
        <f>C14</f>
        <v>1</v>
      </c>
      <c r="I207" s="91">
        <f>(G207)*(H207)</f>
        <v>0.96000000000000008</v>
      </c>
      <c r="J207" s="252" t="s">
        <v>36</v>
      </c>
      <c r="K207" s="246"/>
    </row>
    <row r="208" spans="2:11" ht="14.25" thickBot="1">
      <c r="B208" s="359"/>
      <c r="C208" s="360"/>
      <c r="D208" s="360"/>
      <c r="E208" s="361"/>
      <c r="F208" s="360" t="s">
        <v>17</v>
      </c>
      <c r="G208" s="361"/>
      <c r="H208" s="362" t="s">
        <v>17</v>
      </c>
      <c r="I208" s="363"/>
      <c r="J208" s="175" t="s">
        <v>322</v>
      </c>
      <c r="K208" s="619" t="str">
        <f>IF(H205&lt;=I207,"◯","×")</f>
        <v>◯</v>
      </c>
    </row>
    <row r="209" spans="2:11">
      <c r="B209" s="383" t="s">
        <v>279</v>
      </c>
      <c r="C209" s="59" t="s">
        <v>143</v>
      </c>
      <c r="D209" s="249"/>
      <c r="E209" s="249"/>
      <c r="F209" s="249"/>
      <c r="G209" s="249"/>
      <c r="H209" s="249"/>
      <c r="I209" s="249"/>
      <c r="J209" s="249"/>
      <c r="K209" s="250"/>
    </row>
    <row r="210" spans="2:11">
      <c r="B210" s="310"/>
      <c r="C210" s="60" t="s">
        <v>598</v>
      </c>
      <c r="D210" s="102" t="s">
        <v>158</v>
      </c>
      <c r="E210" s="158">
        <f>(D44)*(D42)/(F9)</f>
        <v>372.64499999999998</v>
      </c>
      <c r="F210" s="19" t="s">
        <v>31</v>
      </c>
      <c r="G210" s="60" t="s">
        <v>599</v>
      </c>
      <c r="H210" s="159">
        <f>(D44)*(F9-D42)/F9</f>
        <v>372.64499999999998</v>
      </c>
      <c r="I210" s="19" t="s">
        <v>31</v>
      </c>
      <c r="J210" s="248"/>
      <c r="K210" s="246"/>
    </row>
    <row r="211" spans="2:11">
      <c r="B211" s="310"/>
      <c r="C211" s="96"/>
      <c r="D211" s="92"/>
      <c r="E211" s="92"/>
      <c r="F211" s="92"/>
      <c r="G211" s="92"/>
      <c r="H211" s="92"/>
      <c r="I211" s="92"/>
      <c r="J211" s="245"/>
      <c r="K211" s="246"/>
    </row>
    <row r="212" spans="2:11">
      <c r="B212" s="310"/>
      <c r="C212" s="890" t="s">
        <v>166</v>
      </c>
      <c r="D212" s="88">
        <f>H176+MAX(E210,H210)</f>
        <v>2341.37176</v>
      </c>
      <c r="E212" s="19" t="s">
        <v>31</v>
      </c>
      <c r="F212" s="856" t="s">
        <v>267</v>
      </c>
      <c r="G212" s="92"/>
      <c r="H212" s="92"/>
      <c r="I212" s="92"/>
      <c r="J212" s="245"/>
      <c r="K212" s="246"/>
    </row>
    <row r="213" spans="2:11">
      <c r="B213" s="310"/>
      <c r="C213" s="252"/>
      <c r="D213" s="17"/>
      <c r="E213" s="348"/>
      <c r="F213" s="245"/>
      <c r="G213" s="245"/>
      <c r="H213" s="245"/>
      <c r="I213" s="245"/>
      <c r="J213" s="245"/>
      <c r="K213" s="246"/>
    </row>
    <row r="214" spans="2:11">
      <c r="B214" s="310"/>
      <c r="C214" s="585" t="s">
        <v>293</v>
      </c>
      <c r="D214" s="60" t="s">
        <v>600</v>
      </c>
      <c r="E214" s="93" t="s">
        <v>32</v>
      </c>
      <c r="F214" s="125">
        <f>D212</f>
        <v>2341.37176</v>
      </c>
      <c r="G214" s="123">
        <f>(D57)</f>
        <v>11025</v>
      </c>
      <c r="H214" s="159">
        <f>1.5*(F214)/(G214)</f>
        <v>0.31855398095238097</v>
      </c>
      <c r="I214" s="81" t="s">
        <v>36</v>
      </c>
      <c r="J214" s="245"/>
      <c r="K214" s="246"/>
    </row>
    <row r="215" spans="2:11">
      <c r="B215" s="310"/>
      <c r="C215" s="244"/>
      <c r="D215" s="81"/>
      <c r="E215" s="19"/>
      <c r="F215" s="19"/>
      <c r="G215" s="114" t="s">
        <v>315</v>
      </c>
      <c r="H215" s="92"/>
      <c r="I215" s="19"/>
      <c r="J215" s="245"/>
      <c r="K215" s="246"/>
    </row>
    <row r="216" spans="2:11">
      <c r="B216" s="310"/>
      <c r="C216" s="244"/>
      <c r="D216" s="991" t="s">
        <v>94</v>
      </c>
      <c r="E216" s="92" t="s">
        <v>89</v>
      </c>
      <c r="F216" s="119">
        <f>C14</f>
        <v>1</v>
      </c>
      <c r="G216" s="92">
        <f>1.1*(data!I11)/3</f>
        <v>0.66</v>
      </c>
      <c r="H216" s="120">
        <f>C14</f>
        <v>1</v>
      </c>
      <c r="I216" s="19">
        <f>(G216)*(H216)</f>
        <v>0.66</v>
      </c>
      <c r="J216" s="252" t="s">
        <v>36</v>
      </c>
      <c r="K216" s="246"/>
    </row>
    <row r="217" spans="2:11" ht="14.25" thickBot="1">
      <c r="B217" s="310"/>
      <c r="C217" s="253"/>
      <c r="D217" s="253"/>
      <c r="E217" s="254"/>
      <c r="F217" s="253" t="s">
        <v>17</v>
      </c>
      <c r="G217" s="254"/>
      <c r="H217" s="62" t="s">
        <v>17</v>
      </c>
      <c r="I217" s="254"/>
      <c r="J217" s="175" t="s">
        <v>322</v>
      </c>
      <c r="K217" s="619" t="str">
        <f>IF(H214&lt;=I216,"◯","×")</f>
        <v>◯</v>
      </c>
    </row>
    <row r="218" spans="2:11">
      <c r="B218" s="310"/>
      <c r="C218" s="59" t="s">
        <v>143</v>
      </c>
      <c r="D218" s="249"/>
      <c r="E218" s="249"/>
      <c r="F218" s="249"/>
      <c r="G218" s="249"/>
      <c r="H218" s="249"/>
      <c r="I218" s="249"/>
      <c r="J218" s="245"/>
      <c r="K218" s="250"/>
    </row>
    <row r="219" spans="2:11">
      <c r="B219" s="310"/>
      <c r="C219" s="60" t="s">
        <v>598</v>
      </c>
      <c r="D219" s="102" t="s">
        <v>158</v>
      </c>
      <c r="E219" s="158">
        <f>(E44)*(D42)/(F9)</f>
        <v>1171.34745</v>
      </c>
      <c r="F219" s="19" t="s">
        <v>31</v>
      </c>
      <c r="G219" s="60" t="s">
        <v>599</v>
      </c>
      <c r="H219" s="159">
        <f>(E44)*(F9-D42)/F9</f>
        <v>1171.34745</v>
      </c>
      <c r="I219" s="19" t="s">
        <v>31</v>
      </c>
      <c r="J219" s="245"/>
      <c r="K219" s="246"/>
    </row>
    <row r="220" spans="2:11">
      <c r="B220" s="310"/>
      <c r="C220" s="96"/>
      <c r="D220" s="92"/>
      <c r="E220" s="92"/>
      <c r="F220" s="92"/>
      <c r="G220" s="92"/>
      <c r="H220" s="92"/>
      <c r="I220" s="92"/>
      <c r="J220" s="245"/>
      <c r="K220" s="246"/>
    </row>
    <row r="221" spans="2:11">
      <c r="B221" s="310"/>
      <c r="C221" s="890" t="s">
        <v>166</v>
      </c>
      <c r="D221" s="88">
        <f>H178+MAX(E219,H219)</f>
        <v>4310.33421</v>
      </c>
      <c r="E221" s="19" t="s">
        <v>31</v>
      </c>
      <c r="F221" s="857" t="s">
        <v>228</v>
      </c>
      <c r="G221" s="92"/>
      <c r="H221" s="92"/>
      <c r="I221" s="92"/>
      <c r="J221" s="245"/>
      <c r="K221" s="246"/>
    </row>
    <row r="222" spans="2:11">
      <c r="B222" s="310"/>
      <c r="C222" s="252"/>
      <c r="D222" s="17"/>
      <c r="E222" s="348"/>
      <c r="F222" s="245"/>
      <c r="G222" s="245"/>
      <c r="H222" s="245"/>
      <c r="I222" s="245"/>
      <c r="J222" s="245"/>
      <c r="K222" s="246"/>
    </row>
    <row r="223" spans="2:11">
      <c r="B223" s="310"/>
      <c r="C223" s="585" t="s">
        <v>293</v>
      </c>
      <c r="D223" s="60" t="s">
        <v>601</v>
      </c>
      <c r="E223" s="93" t="s">
        <v>32</v>
      </c>
      <c r="F223" s="125">
        <f>D221</f>
        <v>4310.33421</v>
      </c>
      <c r="G223" s="123">
        <f>(D57)</f>
        <v>11025</v>
      </c>
      <c r="H223" s="159">
        <f>1.5*(F223)/(G223)</f>
        <v>0.58644002857142852</v>
      </c>
      <c r="I223" s="81" t="s">
        <v>36</v>
      </c>
      <c r="J223" s="245"/>
      <c r="K223" s="246"/>
    </row>
    <row r="224" spans="2:11">
      <c r="B224" s="310"/>
      <c r="C224" s="244"/>
      <c r="D224" s="81"/>
      <c r="E224" s="19"/>
      <c r="F224" s="19"/>
      <c r="G224" s="114" t="s">
        <v>315</v>
      </c>
      <c r="H224" s="92"/>
      <c r="I224" s="19"/>
      <c r="J224" s="245"/>
      <c r="K224" s="246"/>
    </row>
    <row r="225" spans="2:11">
      <c r="B225" s="310"/>
      <c r="C225" s="244"/>
      <c r="D225" s="991" t="s">
        <v>94</v>
      </c>
      <c r="E225" s="81" t="s">
        <v>288</v>
      </c>
      <c r="F225" s="119">
        <f>C14</f>
        <v>1</v>
      </c>
      <c r="G225" s="92">
        <f>1.3*1.1*(data!I11)/3</f>
        <v>0.8580000000000001</v>
      </c>
      <c r="H225" s="120">
        <f>C14</f>
        <v>1</v>
      </c>
      <c r="I225" s="91">
        <f>(G225)*(H225)</f>
        <v>0.8580000000000001</v>
      </c>
      <c r="J225" s="252" t="s">
        <v>36</v>
      </c>
      <c r="K225" s="246"/>
    </row>
    <row r="226" spans="2:11" ht="14.25" thickBot="1">
      <c r="B226" s="310"/>
      <c r="C226" s="253"/>
      <c r="D226" s="253"/>
      <c r="E226" s="254"/>
      <c r="F226" s="253" t="s">
        <v>17</v>
      </c>
      <c r="G226" s="254"/>
      <c r="H226" s="62" t="s">
        <v>17</v>
      </c>
      <c r="I226" s="254"/>
      <c r="J226" s="175" t="s">
        <v>322</v>
      </c>
      <c r="K226" s="619" t="str">
        <f>IF(H223&lt;=I225,"◯","×")</f>
        <v>◯</v>
      </c>
    </row>
    <row r="227" spans="2:11">
      <c r="B227" s="310"/>
      <c r="C227" s="59" t="s">
        <v>143</v>
      </c>
      <c r="D227" s="249"/>
      <c r="E227" s="249"/>
      <c r="F227" s="249"/>
      <c r="G227" s="249"/>
      <c r="H227" s="249"/>
      <c r="I227" s="249"/>
      <c r="J227" s="245"/>
      <c r="K227" s="246"/>
    </row>
    <row r="228" spans="2:11">
      <c r="B228" s="310"/>
      <c r="C228" s="60" t="s">
        <v>598</v>
      </c>
      <c r="D228" s="102" t="s">
        <v>158</v>
      </c>
      <c r="E228" s="158">
        <f>(F44)*(D42)/(F9)</f>
        <v>1512.9387000000002</v>
      </c>
      <c r="F228" s="19" t="s">
        <v>31</v>
      </c>
      <c r="G228" s="60" t="s">
        <v>599</v>
      </c>
      <c r="H228" s="159">
        <f>(F44)*(F9-D42)/F9</f>
        <v>1512.9387000000002</v>
      </c>
      <c r="I228" s="19" t="s">
        <v>31</v>
      </c>
      <c r="J228" s="245"/>
      <c r="K228" s="246"/>
    </row>
    <row r="229" spans="2:11">
      <c r="B229" s="310"/>
      <c r="C229" s="96"/>
      <c r="D229" s="92"/>
      <c r="E229" s="92"/>
      <c r="F229" s="92"/>
      <c r="G229" s="92"/>
      <c r="H229" s="92"/>
      <c r="I229" s="92"/>
      <c r="J229" s="245"/>
      <c r="K229" s="246"/>
    </row>
    <row r="230" spans="2:11">
      <c r="B230" s="310"/>
      <c r="C230" s="890" t="s">
        <v>166</v>
      </c>
      <c r="D230" s="88">
        <f>H180+MAX(E228,H228)</f>
        <v>5152.4254600000004</v>
      </c>
      <c r="E230" s="19" t="s">
        <v>31</v>
      </c>
      <c r="F230" s="857" t="s">
        <v>229</v>
      </c>
      <c r="G230" s="92"/>
      <c r="H230" s="92"/>
      <c r="I230" s="92"/>
      <c r="J230" s="245"/>
      <c r="K230" s="246"/>
    </row>
    <row r="231" spans="2:11">
      <c r="B231" s="310"/>
      <c r="C231" s="252"/>
      <c r="D231" s="17"/>
      <c r="E231" s="348"/>
      <c r="F231" s="245"/>
      <c r="G231" s="245"/>
      <c r="H231" s="245"/>
      <c r="I231" s="245"/>
      <c r="J231" s="245"/>
      <c r="K231" s="246"/>
    </row>
    <row r="232" spans="2:11">
      <c r="B232" s="310"/>
      <c r="C232" s="585" t="s">
        <v>293</v>
      </c>
      <c r="D232" s="60" t="s">
        <v>602</v>
      </c>
      <c r="E232" s="93" t="s">
        <v>32</v>
      </c>
      <c r="F232" s="125">
        <f>D230</f>
        <v>5152.4254600000004</v>
      </c>
      <c r="G232" s="123">
        <f>(D57)</f>
        <v>11025</v>
      </c>
      <c r="H232" s="159">
        <f>1.5*(F232)/(G232)</f>
        <v>0.70101026666666677</v>
      </c>
      <c r="I232" s="81" t="s">
        <v>36</v>
      </c>
      <c r="J232" s="245"/>
      <c r="K232" s="246"/>
    </row>
    <row r="233" spans="2:11">
      <c r="B233" s="310"/>
      <c r="C233" s="244"/>
      <c r="D233" s="81"/>
      <c r="E233" s="19"/>
      <c r="F233" s="19"/>
      <c r="G233" s="114" t="s">
        <v>315</v>
      </c>
      <c r="H233" s="92"/>
      <c r="I233" s="19"/>
      <c r="J233" s="245"/>
      <c r="K233" s="246"/>
    </row>
    <row r="234" spans="2:11">
      <c r="B234" s="310"/>
      <c r="C234" s="244"/>
      <c r="D234" s="991" t="s">
        <v>94</v>
      </c>
      <c r="E234" s="81" t="s">
        <v>289</v>
      </c>
      <c r="F234" s="119">
        <f>C14</f>
        <v>1</v>
      </c>
      <c r="G234" s="92">
        <f>0.8*2*(data!I11)/3</f>
        <v>0.96000000000000008</v>
      </c>
      <c r="H234" s="120">
        <f>C14</f>
        <v>1</v>
      </c>
      <c r="I234" s="91">
        <f>(G234)*(H234)</f>
        <v>0.96000000000000008</v>
      </c>
      <c r="J234" s="252" t="s">
        <v>36</v>
      </c>
      <c r="K234" s="246"/>
    </row>
    <row r="235" spans="2:11" ht="14.25" thickBot="1">
      <c r="B235" s="364"/>
      <c r="C235" s="360"/>
      <c r="D235" s="360"/>
      <c r="E235" s="361"/>
      <c r="F235" s="360" t="s">
        <v>17</v>
      </c>
      <c r="G235" s="361"/>
      <c r="H235" s="362" t="s">
        <v>17</v>
      </c>
      <c r="I235" s="363"/>
      <c r="J235" s="175" t="s">
        <v>322</v>
      </c>
      <c r="K235" s="619" t="str">
        <f>IF(H232&lt;=I234,"◯","×")</f>
        <v>◯</v>
      </c>
    </row>
    <row r="236" spans="2:11">
      <c r="B236" s="63" t="s">
        <v>269</v>
      </c>
      <c r="C236" s="65" t="s">
        <v>143</v>
      </c>
      <c r="D236" s="249"/>
      <c r="E236" s="249"/>
      <c r="F236" s="249"/>
      <c r="G236" s="249"/>
      <c r="H236" s="249"/>
      <c r="I236" s="249"/>
      <c r="J236" s="249"/>
      <c r="K236" s="250"/>
    </row>
    <row r="237" spans="2:11">
      <c r="B237" s="310"/>
      <c r="C237" s="60" t="s">
        <v>544</v>
      </c>
      <c r="D237" s="102" t="s">
        <v>158</v>
      </c>
      <c r="E237" s="321">
        <f>(D49)*(D47)/(F9)</f>
        <v>186.32249999999999</v>
      </c>
      <c r="F237" s="19" t="s">
        <v>31</v>
      </c>
      <c r="G237" s="60" t="s">
        <v>545</v>
      </c>
      <c r="H237" s="80">
        <f>(D49)*(F9-D47)/F9</f>
        <v>558.96749999999997</v>
      </c>
      <c r="I237" s="19" t="s">
        <v>31</v>
      </c>
      <c r="J237" s="92"/>
      <c r="K237" s="89"/>
    </row>
    <row r="238" spans="2:11">
      <c r="B238" s="310"/>
      <c r="C238" s="60" t="s">
        <v>546</v>
      </c>
      <c r="D238" s="102" t="s">
        <v>159</v>
      </c>
      <c r="E238" s="321">
        <f>(D50)*(D47)*3/(F9)</f>
        <v>558.96749999999997</v>
      </c>
      <c r="F238" s="19" t="s">
        <v>31</v>
      </c>
      <c r="G238" s="60" t="s">
        <v>547</v>
      </c>
      <c r="H238" s="80">
        <f>(D50)*(F9-(D47)*3)/F9</f>
        <v>186.32250000000002</v>
      </c>
      <c r="I238" s="19" t="s">
        <v>31</v>
      </c>
      <c r="J238" s="90"/>
      <c r="K238" s="89"/>
    </row>
    <row r="239" spans="2:11">
      <c r="B239" s="310"/>
      <c r="C239" s="81"/>
      <c r="D239" s="90" t="s">
        <v>85</v>
      </c>
      <c r="E239" s="321">
        <f>SUM(E237:E238)</f>
        <v>745.29</v>
      </c>
      <c r="F239" s="19" t="s">
        <v>31</v>
      </c>
      <c r="G239" s="90" t="s">
        <v>85</v>
      </c>
      <c r="H239" s="321">
        <f>SUM(H237:H238)</f>
        <v>745.29</v>
      </c>
      <c r="I239" s="19" t="s">
        <v>31</v>
      </c>
      <c r="J239" s="1018">
        <f>MAX(E239,H239)</f>
        <v>745.29</v>
      </c>
      <c r="K239" s="89"/>
    </row>
    <row r="240" spans="2:11">
      <c r="B240" s="310"/>
      <c r="C240" s="890" t="s">
        <v>166</v>
      </c>
      <c r="D240" s="88">
        <f>H176+J239</f>
        <v>2714.0167599999995</v>
      </c>
      <c r="E240" s="19" t="s">
        <v>31</v>
      </c>
      <c r="F240" s="102" t="s">
        <v>267</v>
      </c>
      <c r="G240" s="90"/>
      <c r="H240" s="321"/>
      <c r="I240" s="19"/>
      <c r="J240" s="90"/>
      <c r="K240" s="89"/>
    </row>
    <row r="241" spans="2:11">
      <c r="B241" s="310"/>
      <c r="C241" s="252"/>
      <c r="D241" s="17"/>
      <c r="E241" s="321"/>
      <c r="F241" s="248"/>
      <c r="G241" s="248"/>
      <c r="H241" s="248"/>
      <c r="I241" s="248"/>
      <c r="J241" s="248"/>
      <c r="K241" s="246"/>
    </row>
    <row r="242" spans="2:11">
      <c r="B242" s="310"/>
      <c r="C242" s="585" t="s">
        <v>293</v>
      </c>
      <c r="D242" s="60" t="s">
        <v>625</v>
      </c>
      <c r="E242" s="93" t="s">
        <v>32</v>
      </c>
      <c r="F242" s="92">
        <f>D240</f>
        <v>2714.0167599999995</v>
      </c>
      <c r="G242" s="123">
        <f>(D57)</f>
        <v>11025</v>
      </c>
      <c r="H242" s="159">
        <f>1.5*(F242)/(G242)</f>
        <v>0.36925398095238088</v>
      </c>
      <c r="I242" s="81" t="s">
        <v>36</v>
      </c>
      <c r="J242" s="248"/>
      <c r="K242" s="246"/>
    </row>
    <row r="243" spans="2:11">
      <c r="B243" s="310"/>
      <c r="C243" s="244"/>
      <c r="D243" s="81"/>
      <c r="E243" s="19"/>
      <c r="F243" s="19"/>
      <c r="G243" s="114" t="s">
        <v>315</v>
      </c>
      <c r="H243" s="92"/>
      <c r="I243" s="19"/>
      <c r="J243" s="248"/>
      <c r="K243" s="246"/>
    </row>
    <row r="244" spans="2:11">
      <c r="B244" s="310"/>
      <c r="C244" s="244"/>
      <c r="D244" s="1010" t="s">
        <v>94</v>
      </c>
      <c r="E244" s="92" t="s">
        <v>89</v>
      </c>
      <c r="F244" s="119">
        <f>C14</f>
        <v>1</v>
      </c>
      <c r="G244" s="92">
        <f>1.1*(data!I11)/3</f>
        <v>0.66</v>
      </c>
      <c r="H244" s="120">
        <f>C14</f>
        <v>1</v>
      </c>
      <c r="I244" s="19">
        <f>(G244)*(C14)</f>
        <v>0.66</v>
      </c>
      <c r="J244" s="252" t="s">
        <v>36</v>
      </c>
      <c r="K244" s="246"/>
    </row>
    <row r="245" spans="2:11" ht="14.25" thickBot="1">
      <c r="B245" s="310"/>
      <c r="C245" s="253"/>
      <c r="D245" s="253"/>
      <c r="E245" s="254"/>
      <c r="F245" s="253" t="s">
        <v>17</v>
      </c>
      <c r="G245" s="254"/>
      <c r="H245" s="62" t="s">
        <v>17</v>
      </c>
      <c r="I245" s="254"/>
      <c r="J245" s="175" t="s">
        <v>322</v>
      </c>
      <c r="K245" s="619" t="str">
        <f>IF(H242&lt;=I244,"◯","×")</f>
        <v>◯</v>
      </c>
    </row>
    <row r="246" spans="2:11">
      <c r="B246" s="310"/>
      <c r="C246" s="59" t="s">
        <v>143</v>
      </c>
      <c r="D246" s="249"/>
      <c r="E246" s="249"/>
      <c r="F246" s="249"/>
      <c r="G246" s="249"/>
      <c r="H246" s="249"/>
      <c r="I246" s="249"/>
      <c r="J246" s="249"/>
      <c r="K246" s="250"/>
    </row>
    <row r="247" spans="2:11">
      <c r="B247" s="310"/>
      <c r="C247" s="60" t="s">
        <v>544</v>
      </c>
      <c r="D247" s="102" t="s">
        <v>158</v>
      </c>
      <c r="E247" s="158">
        <f>(E49)*(D47)/(F9)</f>
        <v>585.67372499999999</v>
      </c>
      <c r="F247" s="19" t="s">
        <v>31</v>
      </c>
      <c r="G247" s="60" t="s">
        <v>545</v>
      </c>
      <c r="H247" s="91">
        <f>(E49)*(F9-D47)/F9</f>
        <v>1757.0211749999999</v>
      </c>
      <c r="I247" s="19" t="s">
        <v>31</v>
      </c>
      <c r="J247" s="92"/>
      <c r="K247" s="246"/>
    </row>
    <row r="248" spans="2:11">
      <c r="B248" s="310"/>
      <c r="C248" s="60" t="s">
        <v>546</v>
      </c>
      <c r="D248" s="102" t="s">
        <v>159</v>
      </c>
      <c r="E248" s="158">
        <f>(E50)*(D47)*3/(F9)</f>
        <v>1757.0211749999999</v>
      </c>
      <c r="F248" s="19" t="s">
        <v>31</v>
      </c>
      <c r="G248" s="60" t="s">
        <v>547</v>
      </c>
      <c r="H248" s="91">
        <f>(E50)*(F9-(D47)*3)/F9</f>
        <v>585.6737250000001</v>
      </c>
      <c r="I248" s="19" t="s">
        <v>31</v>
      </c>
      <c r="J248" s="90"/>
      <c r="K248" s="246"/>
    </row>
    <row r="249" spans="2:11">
      <c r="B249" s="310"/>
      <c r="C249" s="81"/>
      <c r="D249" s="90" t="s">
        <v>85</v>
      </c>
      <c r="E249" s="158">
        <f>SUM(E247:E248)</f>
        <v>2342.6949</v>
      </c>
      <c r="F249" s="19" t="s">
        <v>31</v>
      </c>
      <c r="G249" s="90" t="s">
        <v>85</v>
      </c>
      <c r="H249" s="158">
        <f>SUM(H247:H248)</f>
        <v>2342.6949</v>
      </c>
      <c r="I249" s="19" t="s">
        <v>31</v>
      </c>
      <c r="J249" s="1019">
        <f>MAX(E249,H249)</f>
        <v>2342.6949</v>
      </c>
      <c r="K249" s="34"/>
    </row>
    <row r="250" spans="2:11">
      <c r="B250" s="310"/>
      <c r="C250" s="890" t="s">
        <v>166</v>
      </c>
      <c r="D250" s="88">
        <f>H178+J249</f>
        <v>5481.6816600000002</v>
      </c>
      <c r="E250" s="19" t="s">
        <v>31</v>
      </c>
      <c r="F250" s="857" t="s">
        <v>228</v>
      </c>
      <c r="G250" s="90"/>
      <c r="H250" s="321"/>
      <c r="I250" s="19"/>
      <c r="J250" s="90"/>
      <c r="K250" s="246"/>
    </row>
    <row r="251" spans="2:11">
      <c r="B251" s="310"/>
      <c r="C251" s="252"/>
      <c r="D251" s="17"/>
      <c r="E251" s="321"/>
      <c r="F251" s="248"/>
      <c r="G251" s="248"/>
      <c r="H251" s="248"/>
      <c r="I251" s="248"/>
      <c r="J251" s="248"/>
      <c r="K251" s="246"/>
    </row>
    <row r="252" spans="2:11">
      <c r="B252" s="310"/>
      <c r="C252" s="585" t="s">
        <v>293</v>
      </c>
      <c r="D252" s="60" t="s">
        <v>624</v>
      </c>
      <c r="E252" s="93" t="s">
        <v>32</v>
      </c>
      <c r="F252" s="125">
        <f>D250</f>
        <v>5481.6816600000002</v>
      </c>
      <c r="G252" s="123">
        <f>(D57)</f>
        <v>11025</v>
      </c>
      <c r="H252" s="159">
        <f>1.5*(F252)/(G252)</f>
        <v>0.74580702857142855</v>
      </c>
      <c r="I252" s="81" t="s">
        <v>36</v>
      </c>
      <c r="J252" s="248"/>
      <c r="K252" s="246"/>
    </row>
    <row r="253" spans="2:11">
      <c r="B253" s="310"/>
      <c r="C253" s="244"/>
      <c r="D253" s="81"/>
      <c r="E253" s="19"/>
      <c r="F253" s="19"/>
      <c r="G253" s="114" t="s">
        <v>315</v>
      </c>
      <c r="H253" s="92"/>
      <c r="I253" s="19"/>
      <c r="J253" s="248"/>
      <c r="K253" s="246"/>
    </row>
    <row r="254" spans="2:11">
      <c r="B254" s="310"/>
      <c r="C254" s="244"/>
      <c r="D254" s="1010" t="s">
        <v>94</v>
      </c>
      <c r="E254" s="81" t="s">
        <v>288</v>
      </c>
      <c r="F254" s="119">
        <f>C14</f>
        <v>1</v>
      </c>
      <c r="G254" s="92">
        <f>1.3*1.1*(data!I11)/3</f>
        <v>0.8580000000000001</v>
      </c>
      <c r="H254" s="120">
        <f>C14</f>
        <v>1</v>
      </c>
      <c r="I254" s="19">
        <f>(G254)*(C14)</f>
        <v>0.8580000000000001</v>
      </c>
      <c r="J254" s="252" t="s">
        <v>36</v>
      </c>
      <c r="K254" s="246"/>
    </row>
    <row r="255" spans="2:11" ht="14.25" thickBot="1">
      <c r="B255" s="310"/>
      <c r="C255" s="253"/>
      <c r="D255" s="253"/>
      <c r="E255" s="254"/>
      <c r="F255" s="253" t="s">
        <v>17</v>
      </c>
      <c r="G255" s="254"/>
      <c r="H255" s="62" t="s">
        <v>17</v>
      </c>
      <c r="I255" s="254"/>
      <c r="J255" s="175" t="s">
        <v>322</v>
      </c>
      <c r="K255" s="619" t="str">
        <f>IF(H252&lt;=I254,"◯","×")</f>
        <v>◯</v>
      </c>
    </row>
    <row r="256" spans="2:11">
      <c r="B256" s="310"/>
      <c r="C256" s="59" t="s">
        <v>143</v>
      </c>
      <c r="D256" s="249"/>
      <c r="E256" s="249"/>
      <c r="F256" s="249"/>
      <c r="G256" s="249"/>
      <c r="H256" s="249"/>
      <c r="I256" s="249"/>
      <c r="J256" s="249"/>
      <c r="K256" s="250"/>
    </row>
    <row r="257" spans="2:11">
      <c r="B257" s="310"/>
      <c r="C257" s="60" t="s">
        <v>544</v>
      </c>
      <c r="D257" s="102" t="s">
        <v>158</v>
      </c>
      <c r="E257" s="158">
        <f>(F49)*(D47)/(F9)</f>
        <v>756.46935000000008</v>
      </c>
      <c r="F257" s="19" t="s">
        <v>31</v>
      </c>
      <c r="G257" s="60" t="s">
        <v>545</v>
      </c>
      <c r="H257" s="91">
        <f>(F49)*(F9-D47)/F9</f>
        <v>2269.40805</v>
      </c>
      <c r="I257" s="19" t="s">
        <v>31</v>
      </c>
      <c r="J257" s="92"/>
      <c r="K257" s="89"/>
    </row>
    <row r="258" spans="2:11">
      <c r="B258" s="310"/>
      <c r="C258" s="60" t="s">
        <v>546</v>
      </c>
      <c r="D258" s="102" t="s">
        <v>159</v>
      </c>
      <c r="E258" s="158">
        <f>(F50)*(D47)*3/(F9)</f>
        <v>2269.40805</v>
      </c>
      <c r="F258" s="19" t="s">
        <v>31</v>
      </c>
      <c r="G258" s="60" t="s">
        <v>547</v>
      </c>
      <c r="H258" s="91">
        <f>(F50)*(F9-(D47)*3)/F9</f>
        <v>756.46935000000019</v>
      </c>
      <c r="I258" s="19" t="s">
        <v>31</v>
      </c>
      <c r="J258" s="90"/>
      <c r="K258" s="89"/>
    </row>
    <row r="259" spans="2:11">
      <c r="B259" s="310"/>
      <c r="C259" s="81"/>
      <c r="D259" s="90" t="s">
        <v>85</v>
      </c>
      <c r="E259" s="158">
        <f>SUM(E257:E258)</f>
        <v>3025.8774000000003</v>
      </c>
      <c r="F259" s="19" t="s">
        <v>31</v>
      </c>
      <c r="G259" s="90" t="s">
        <v>85</v>
      </c>
      <c r="H259" s="158">
        <f>SUM(H257:H258)</f>
        <v>3025.8774000000003</v>
      </c>
      <c r="I259" s="19" t="s">
        <v>31</v>
      </c>
      <c r="J259" s="1020">
        <f>MAX(E259,H259)</f>
        <v>3025.8774000000003</v>
      </c>
      <c r="K259" s="89"/>
    </row>
    <row r="260" spans="2:11">
      <c r="B260" s="310"/>
      <c r="C260" s="890" t="s">
        <v>166</v>
      </c>
      <c r="D260" s="88">
        <f>H180+J259</f>
        <v>6665.3641600000001</v>
      </c>
      <c r="E260" s="19" t="s">
        <v>31</v>
      </c>
      <c r="F260" s="857" t="s">
        <v>229</v>
      </c>
      <c r="G260" s="90"/>
      <c r="H260" s="321"/>
      <c r="I260" s="19"/>
      <c r="J260" s="90"/>
      <c r="K260" s="89"/>
    </row>
    <row r="261" spans="2:11">
      <c r="B261" s="310"/>
      <c r="C261" s="252"/>
      <c r="D261" s="17"/>
      <c r="E261" s="321"/>
      <c r="F261" s="248"/>
      <c r="G261" s="248"/>
      <c r="H261" s="248"/>
      <c r="I261" s="248"/>
      <c r="J261" s="248"/>
      <c r="K261" s="246"/>
    </row>
    <row r="262" spans="2:11">
      <c r="B262" s="310"/>
      <c r="C262" s="585" t="s">
        <v>293</v>
      </c>
      <c r="D262" s="60" t="s">
        <v>627</v>
      </c>
      <c r="E262" s="93" t="s">
        <v>32</v>
      </c>
      <c r="F262" s="125">
        <f>D260</f>
        <v>6665.3641600000001</v>
      </c>
      <c r="G262" s="123">
        <f>(D57)</f>
        <v>11025</v>
      </c>
      <c r="H262" s="159">
        <f>1.5*(F262)/(G262)</f>
        <v>0.90685226666666663</v>
      </c>
      <c r="I262" s="81" t="s">
        <v>36</v>
      </c>
      <c r="J262" s="248"/>
      <c r="K262" s="246"/>
    </row>
    <row r="263" spans="2:11">
      <c r="B263" s="310"/>
      <c r="C263" s="244"/>
      <c r="D263" s="81"/>
      <c r="E263" s="19"/>
      <c r="F263" s="19"/>
      <c r="G263" s="114" t="s">
        <v>315</v>
      </c>
      <c r="H263" s="92"/>
      <c r="I263" s="19"/>
      <c r="J263" s="248"/>
      <c r="K263" s="246"/>
    </row>
    <row r="264" spans="2:11">
      <c r="B264" s="310"/>
      <c r="C264" s="244"/>
      <c r="D264" s="1010" t="s">
        <v>94</v>
      </c>
      <c r="E264" s="81" t="s">
        <v>289</v>
      </c>
      <c r="F264" s="119">
        <f>C14</f>
        <v>1</v>
      </c>
      <c r="G264" s="92">
        <f>0.8*2*(data!I11)/3</f>
        <v>0.96000000000000008</v>
      </c>
      <c r="H264" s="120">
        <f>C14</f>
        <v>1</v>
      </c>
      <c r="I264" s="19">
        <f>(G264)*(C14)</f>
        <v>0.96000000000000008</v>
      </c>
      <c r="J264" s="252" t="s">
        <v>36</v>
      </c>
      <c r="K264" s="246"/>
    </row>
    <row r="265" spans="2:11" ht="14.25" thickBot="1">
      <c r="B265" s="364"/>
      <c r="C265" s="360"/>
      <c r="D265" s="360"/>
      <c r="E265" s="361"/>
      <c r="F265" s="360" t="s">
        <v>17</v>
      </c>
      <c r="G265" s="361"/>
      <c r="H265" s="362" t="s">
        <v>17</v>
      </c>
      <c r="I265" s="363"/>
      <c r="J265" s="175" t="s">
        <v>322</v>
      </c>
      <c r="K265" s="619" t="str">
        <f>IF(H262&lt;=I264,"◯","×")</f>
        <v>◯</v>
      </c>
    </row>
    <row r="266" spans="2:11">
      <c r="B266" s="366" t="s">
        <v>270</v>
      </c>
      <c r="C266" s="59" t="s">
        <v>143</v>
      </c>
      <c r="D266" s="249"/>
      <c r="E266" s="249"/>
      <c r="F266" s="249"/>
      <c r="G266" s="249"/>
      <c r="H266" s="249"/>
      <c r="I266" s="249"/>
      <c r="J266" s="249"/>
      <c r="K266" s="250"/>
    </row>
    <row r="267" spans="2:11">
      <c r="B267" s="310"/>
      <c r="C267" s="60" t="s">
        <v>598</v>
      </c>
      <c r="D267" s="102" t="s">
        <v>158</v>
      </c>
      <c r="E267" s="158">
        <f>(D55)*(D53)/(F9)</f>
        <v>372.64499999999998</v>
      </c>
      <c r="F267" s="19" t="s">
        <v>31</v>
      </c>
      <c r="G267" s="60" t="s">
        <v>599</v>
      </c>
      <c r="H267" s="159">
        <f>(D55)*(F9-D53)/F9</f>
        <v>372.64499999999998</v>
      </c>
      <c r="I267" s="19" t="s">
        <v>31</v>
      </c>
      <c r="J267" s="248"/>
      <c r="K267" s="246"/>
    </row>
    <row r="268" spans="2:11">
      <c r="B268" s="310"/>
      <c r="C268" s="96"/>
      <c r="D268" s="92"/>
      <c r="E268" s="92"/>
      <c r="F268" s="92"/>
      <c r="G268" s="92"/>
      <c r="H268" s="92"/>
      <c r="I268" s="92"/>
      <c r="J268" s="245"/>
      <c r="K268" s="246"/>
    </row>
    <row r="269" spans="2:11">
      <c r="B269" s="310"/>
      <c r="C269" s="890" t="s">
        <v>166</v>
      </c>
      <c r="D269" s="88">
        <f>H180+MAX(E267,H267)</f>
        <v>4012.1317599999998</v>
      </c>
      <c r="E269" s="19" t="s">
        <v>31</v>
      </c>
      <c r="F269" s="102" t="s">
        <v>267</v>
      </c>
      <c r="G269" s="92"/>
      <c r="H269" s="92"/>
      <c r="I269" s="92"/>
      <c r="J269" s="245"/>
      <c r="K269" s="246"/>
    </row>
    <row r="270" spans="2:11">
      <c r="B270" s="310"/>
      <c r="C270" s="252"/>
      <c r="D270" s="17"/>
      <c r="E270" s="372"/>
      <c r="F270" s="245"/>
      <c r="G270" s="245"/>
      <c r="H270" s="245"/>
      <c r="I270" s="245"/>
      <c r="J270" s="245"/>
      <c r="K270" s="246"/>
    </row>
    <row r="271" spans="2:11">
      <c r="B271" s="310"/>
      <c r="C271" s="585" t="s">
        <v>293</v>
      </c>
      <c r="D271" s="60" t="s">
        <v>628</v>
      </c>
      <c r="E271" s="93" t="s">
        <v>32</v>
      </c>
      <c r="F271" s="125">
        <f>D269</f>
        <v>4012.1317599999998</v>
      </c>
      <c r="G271" s="123">
        <f>(D57)</f>
        <v>11025</v>
      </c>
      <c r="H271" s="159">
        <f>1.5*(F271)/(G271)</f>
        <v>0.54586826666666666</v>
      </c>
      <c r="I271" s="81" t="s">
        <v>36</v>
      </c>
      <c r="J271" s="245"/>
      <c r="K271" s="246"/>
    </row>
    <row r="272" spans="2:11">
      <c r="B272" s="310"/>
      <c r="C272" s="244"/>
      <c r="D272" s="81"/>
      <c r="E272" s="19"/>
      <c r="F272" s="19"/>
      <c r="G272" s="114" t="s">
        <v>315</v>
      </c>
      <c r="H272" s="92"/>
      <c r="I272" s="19"/>
      <c r="J272" s="245"/>
      <c r="K272" s="246"/>
    </row>
    <row r="273" spans="2:11">
      <c r="B273" s="310"/>
      <c r="C273" s="244"/>
      <c r="D273" s="1010" t="s">
        <v>94</v>
      </c>
      <c r="E273" s="92" t="s">
        <v>89</v>
      </c>
      <c r="F273" s="119">
        <f>C14</f>
        <v>1</v>
      </c>
      <c r="G273" s="92">
        <f>1.1*(data!I11)/3</f>
        <v>0.66</v>
      </c>
      <c r="H273" s="120">
        <f>C14</f>
        <v>1</v>
      </c>
      <c r="I273" s="19">
        <f>(G273)*(H273)</f>
        <v>0.66</v>
      </c>
      <c r="J273" s="252" t="s">
        <v>36</v>
      </c>
      <c r="K273" s="246"/>
    </row>
    <row r="274" spans="2:11" ht="14.25" thickBot="1">
      <c r="B274" s="310"/>
      <c r="C274" s="253"/>
      <c r="D274" s="253"/>
      <c r="E274" s="254"/>
      <c r="F274" s="253" t="s">
        <v>17</v>
      </c>
      <c r="G274" s="254"/>
      <c r="H274" s="62" t="s">
        <v>17</v>
      </c>
      <c r="I274" s="254"/>
      <c r="J274" s="175" t="s">
        <v>322</v>
      </c>
      <c r="K274" s="619" t="str">
        <f>IF(H271&lt;=I273,"◯","×")</f>
        <v>◯</v>
      </c>
    </row>
    <row r="275" spans="2:11">
      <c r="B275" s="310"/>
      <c r="C275" s="59" t="s">
        <v>143</v>
      </c>
      <c r="D275" s="249"/>
      <c r="E275" s="249"/>
      <c r="F275" s="249"/>
      <c r="G275" s="249"/>
      <c r="H275" s="249"/>
      <c r="I275" s="249"/>
      <c r="J275" s="245"/>
      <c r="K275" s="250"/>
    </row>
    <row r="276" spans="2:11">
      <c r="B276" s="310"/>
      <c r="C276" s="60" t="s">
        <v>598</v>
      </c>
      <c r="D276" s="102" t="s">
        <v>158</v>
      </c>
      <c r="E276" s="158">
        <f>(E55)*(D53)/(F9)</f>
        <v>1171.34745</v>
      </c>
      <c r="F276" s="19" t="s">
        <v>31</v>
      </c>
      <c r="G276" s="60" t="s">
        <v>599</v>
      </c>
      <c r="H276" s="159">
        <f>(E55)*(F9-D53)/F9</f>
        <v>1171.34745</v>
      </c>
      <c r="I276" s="19" t="s">
        <v>31</v>
      </c>
      <c r="J276" s="245"/>
      <c r="K276" s="246"/>
    </row>
    <row r="277" spans="2:11">
      <c r="B277" s="310"/>
      <c r="C277" s="96"/>
      <c r="D277" s="92"/>
      <c r="E277" s="92"/>
      <c r="F277" s="92"/>
      <c r="G277" s="92"/>
      <c r="H277" s="92"/>
      <c r="I277" s="92"/>
      <c r="J277" s="245"/>
      <c r="K277" s="246"/>
    </row>
    <row r="278" spans="2:11">
      <c r="B278" s="310"/>
      <c r="C278" s="890" t="s">
        <v>166</v>
      </c>
      <c r="D278" s="88">
        <f>H178+MAX(E276,H276)</f>
        <v>4310.33421</v>
      </c>
      <c r="E278" s="19" t="s">
        <v>31</v>
      </c>
      <c r="F278" s="857" t="s">
        <v>228</v>
      </c>
      <c r="G278" s="92"/>
      <c r="H278" s="92"/>
      <c r="I278" s="92"/>
      <c r="J278" s="245"/>
      <c r="K278" s="246"/>
    </row>
    <row r="279" spans="2:11">
      <c r="B279" s="310"/>
      <c r="C279" s="252"/>
      <c r="D279" s="17"/>
      <c r="E279" s="372"/>
      <c r="F279" s="245"/>
      <c r="G279" s="245"/>
      <c r="H279" s="245"/>
      <c r="I279" s="245"/>
      <c r="J279" s="245"/>
      <c r="K279" s="246"/>
    </row>
    <row r="280" spans="2:11">
      <c r="B280" s="310"/>
      <c r="C280" s="585" t="s">
        <v>293</v>
      </c>
      <c r="D280" s="60" t="s">
        <v>624</v>
      </c>
      <c r="E280" s="93" t="s">
        <v>32</v>
      </c>
      <c r="F280" s="125">
        <f>D278</f>
        <v>4310.33421</v>
      </c>
      <c r="G280" s="123">
        <f>(D57)</f>
        <v>11025</v>
      </c>
      <c r="H280" s="159">
        <f>1.5*(F280)/(G280)</f>
        <v>0.58644002857142852</v>
      </c>
      <c r="I280" s="81" t="s">
        <v>36</v>
      </c>
      <c r="J280" s="245"/>
      <c r="K280" s="246"/>
    </row>
    <row r="281" spans="2:11">
      <c r="B281" s="310"/>
      <c r="C281" s="244"/>
      <c r="D281" s="81"/>
      <c r="E281" s="19"/>
      <c r="F281" s="19"/>
      <c r="G281" s="114" t="s">
        <v>315</v>
      </c>
      <c r="H281" s="92"/>
      <c r="I281" s="19"/>
      <c r="J281" s="245"/>
      <c r="K281" s="246"/>
    </row>
    <row r="282" spans="2:11">
      <c r="B282" s="310"/>
      <c r="C282" s="244"/>
      <c r="D282" s="1010" t="s">
        <v>94</v>
      </c>
      <c r="E282" s="81" t="s">
        <v>288</v>
      </c>
      <c r="F282" s="119">
        <f>C14</f>
        <v>1</v>
      </c>
      <c r="G282" s="92">
        <f>1.3*1.1*(data!I11)/3</f>
        <v>0.8580000000000001</v>
      </c>
      <c r="H282" s="120">
        <f>C14</f>
        <v>1</v>
      </c>
      <c r="I282" s="91">
        <f>(G282)*(H282)</f>
        <v>0.8580000000000001</v>
      </c>
      <c r="J282" s="252" t="s">
        <v>36</v>
      </c>
      <c r="K282" s="246"/>
    </row>
    <row r="283" spans="2:11" ht="14.25" thickBot="1">
      <c r="B283" s="310"/>
      <c r="C283" s="253"/>
      <c r="D283" s="253"/>
      <c r="E283" s="254"/>
      <c r="F283" s="253" t="s">
        <v>17</v>
      </c>
      <c r="G283" s="254"/>
      <c r="H283" s="62" t="s">
        <v>17</v>
      </c>
      <c r="I283" s="254"/>
      <c r="J283" s="175" t="s">
        <v>322</v>
      </c>
      <c r="K283" s="619" t="str">
        <f>IF(H280&lt;=I282,"◯","×")</f>
        <v>◯</v>
      </c>
    </row>
    <row r="284" spans="2:11">
      <c r="B284" s="310"/>
      <c r="C284" s="59" t="s">
        <v>143</v>
      </c>
      <c r="D284" s="249"/>
      <c r="E284" s="249"/>
      <c r="F284" s="249"/>
      <c r="G284" s="249"/>
      <c r="H284" s="249"/>
      <c r="I284" s="249"/>
      <c r="J284" s="245"/>
      <c r="K284" s="246"/>
    </row>
    <row r="285" spans="2:11">
      <c r="B285" s="310"/>
      <c r="C285" s="60" t="s">
        <v>598</v>
      </c>
      <c r="D285" s="102" t="s">
        <v>158</v>
      </c>
      <c r="E285" s="158">
        <f>(F55)*(D53)/(F9)</f>
        <v>1512.9387000000002</v>
      </c>
      <c r="F285" s="19" t="s">
        <v>31</v>
      </c>
      <c r="G285" s="60" t="s">
        <v>599</v>
      </c>
      <c r="H285" s="159">
        <f>(F55)*(F9-D53)/F9</f>
        <v>1512.9387000000002</v>
      </c>
      <c r="I285" s="19" t="s">
        <v>31</v>
      </c>
      <c r="J285" s="245"/>
      <c r="K285" s="246"/>
    </row>
    <row r="286" spans="2:11">
      <c r="B286" s="310"/>
      <c r="C286" s="96"/>
      <c r="D286" s="92"/>
      <c r="E286" s="92"/>
      <c r="F286" s="92"/>
      <c r="G286" s="92"/>
      <c r="H286" s="92"/>
      <c r="I286" s="92"/>
      <c r="J286" s="245"/>
      <c r="K286" s="246"/>
    </row>
    <row r="287" spans="2:11">
      <c r="B287" s="310"/>
      <c r="C287" s="890" t="s">
        <v>166</v>
      </c>
      <c r="D287" s="88">
        <f>H180+MAX(E285,H285)</f>
        <v>5152.4254600000004</v>
      </c>
      <c r="E287" s="19" t="s">
        <v>31</v>
      </c>
      <c r="F287" s="857" t="s">
        <v>229</v>
      </c>
      <c r="G287" s="92"/>
      <c r="H287" s="92"/>
      <c r="I287" s="92"/>
      <c r="J287" s="245"/>
      <c r="K287" s="246"/>
    </row>
    <row r="288" spans="2:11">
      <c r="B288" s="310"/>
      <c r="C288" s="252"/>
      <c r="D288" s="17"/>
      <c r="E288" s="372"/>
      <c r="F288" s="245"/>
      <c r="G288" s="245"/>
      <c r="H288" s="245"/>
      <c r="I288" s="245"/>
      <c r="J288" s="245"/>
      <c r="K288" s="246"/>
    </row>
    <row r="289" spans="2:11">
      <c r="B289" s="310"/>
      <c r="C289" s="585" t="s">
        <v>293</v>
      </c>
      <c r="D289" s="60" t="s">
        <v>627</v>
      </c>
      <c r="E289" s="93" t="s">
        <v>32</v>
      </c>
      <c r="F289" s="125">
        <f>D287</f>
        <v>5152.4254600000004</v>
      </c>
      <c r="G289" s="123">
        <f>(D57)</f>
        <v>11025</v>
      </c>
      <c r="H289" s="159">
        <f>1.5*(F289)/(G289)</f>
        <v>0.70101026666666677</v>
      </c>
      <c r="I289" s="81" t="s">
        <v>36</v>
      </c>
      <c r="J289" s="245"/>
      <c r="K289" s="246"/>
    </row>
    <row r="290" spans="2:11">
      <c r="B290" s="310"/>
      <c r="C290" s="244"/>
      <c r="D290" s="81"/>
      <c r="E290" s="19"/>
      <c r="F290" s="19"/>
      <c r="G290" s="114" t="s">
        <v>315</v>
      </c>
      <c r="H290" s="92"/>
      <c r="I290" s="19"/>
      <c r="J290" s="245"/>
      <c r="K290" s="246"/>
    </row>
    <row r="291" spans="2:11">
      <c r="B291" s="310"/>
      <c r="C291" s="244"/>
      <c r="D291" s="1010" t="s">
        <v>94</v>
      </c>
      <c r="E291" s="81" t="s">
        <v>289</v>
      </c>
      <c r="F291" s="119">
        <f>C14</f>
        <v>1</v>
      </c>
      <c r="G291" s="92">
        <f>0.8*2*(data!I11)/3</f>
        <v>0.96000000000000008</v>
      </c>
      <c r="H291" s="120">
        <f>C14</f>
        <v>1</v>
      </c>
      <c r="I291" s="91">
        <f>(G291)*(H291)</f>
        <v>0.96000000000000008</v>
      </c>
      <c r="J291" s="252" t="s">
        <v>36</v>
      </c>
      <c r="K291" s="246"/>
    </row>
    <row r="292" spans="2:11" ht="14.25" thickBot="1">
      <c r="B292" s="367"/>
      <c r="C292" s="273"/>
      <c r="D292" s="368"/>
      <c r="E292" s="274"/>
      <c r="F292" s="368" t="s">
        <v>17</v>
      </c>
      <c r="G292" s="274"/>
      <c r="H292" s="384" t="s">
        <v>17</v>
      </c>
      <c r="I292" s="369"/>
      <c r="J292" s="175" t="s">
        <v>322</v>
      </c>
      <c r="K292" s="619" t="str">
        <f>IF(H289&lt;=I291,"◯","×")</f>
        <v>◯</v>
      </c>
    </row>
    <row r="293" spans="2:11">
      <c r="B293" s="319" t="s">
        <v>343</v>
      </c>
      <c r="C293" s="205"/>
      <c r="D293" s="265"/>
      <c r="E293" s="266"/>
      <c r="F293" s="266"/>
      <c r="G293" s="266"/>
      <c r="H293" s="266"/>
      <c r="I293" s="266"/>
      <c r="J293" s="266"/>
      <c r="K293" s="267"/>
    </row>
    <row r="294" spans="2:11">
      <c r="B294" s="387" t="s">
        <v>221</v>
      </c>
      <c r="C294" s="388"/>
      <c r="D294" s="249"/>
      <c r="E294" s="249"/>
      <c r="F294" s="249"/>
      <c r="G294" s="249"/>
      <c r="H294" s="249"/>
      <c r="I294" s="249"/>
      <c r="J294" s="249"/>
      <c r="K294" s="250"/>
    </row>
    <row r="295" spans="2:11">
      <c r="B295" s="310"/>
      <c r="C295" s="529" t="s">
        <v>64</v>
      </c>
      <c r="D295" s="196">
        <f>E26</f>
        <v>1081.7179999999998</v>
      </c>
      <c r="E295" s="213">
        <f>(F9)</f>
        <v>3.64</v>
      </c>
      <c r="F295" s="41" t="s">
        <v>162</v>
      </c>
      <c r="G295" s="92">
        <f>data!G20</f>
        <v>7.2972799999999998</v>
      </c>
      <c r="H295" s="124">
        <f>E59</f>
        <v>10129218.75</v>
      </c>
      <c r="I295" s="96" t="s">
        <v>105</v>
      </c>
      <c r="J295" s="125">
        <f>(5*($D$295)*($E$295)^4)/(384*1000*($G$295)*(H295))*1000000000*2</f>
        <v>66.903895565213816</v>
      </c>
      <c r="K295" s="854" t="s">
        <v>267</v>
      </c>
    </row>
    <row r="296" spans="2:11">
      <c r="B296" s="243"/>
      <c r="C296" s="252"/>
      <c r="D296" s="318" t="s">
        <v>71</v>
      </c>
      <c r="E296" s="321" t="s">
        <v>92</v>
      </c>
      <c r="F296" s="245"/>
      <c r="G296" s="19" t="s">
        <v>37</v>
      </c>
      <c r="H296" s="251" t="s">
        <v>40</v>
      </c>
      <c r="I296" s="252" t="s">
        <v>66</v>
      </c>
      <c r="J296" s="372" t="s">
        <v>104</v>
      </c>
      <c r="K296" s="901"/>
    </row>
    <row r="297" spans="2:11">
      <c r="B297" s="243"/>
      <c r="C297" s="529" t="s">
        <v>64</v>
      </c>
      <c r="D297" s="196">
        <f>E29</f>
        <v>1724.7179999999998</v>
      </c>
      <c r="E297" s="213">
        <f>(F9)</f>
        <v>3.64</v>
      </c>
      <c r="F297" s="41" t="s">
        <v>162</v>
      </c>
      <c r="G297" s="92">
        <f>data!G20</f>
        <v>7.2972799999999998</v>
      </c>
      <c r="H297" s="124">
        <f>E59</f>
        <v>10129218.75</v>
      </c>
      <c r="I297" s="96" t="s">
        <v>105</v>
      </c>
      <c r="J297" s="125">
        <f>(5*($D$297)*($E$297)^4)/(384*1000*($G$297)*(H297))*1000000000*2</f>
        <v>106.67322994666306</v>
      </c>
      <c r="K297" s="854" t="s">
        <v>228</v>
      </c>
    </row>
    <row r="298" spans="2:11">
      <c r="B298" s="310"/>
      <c r="C298" s="252"/>
      <c r="D298" s="370" t="s">
        <v>71</v>
      </c>
      <c r="E298" s="372" t="s">
        <v>92</v>
      </c>
      <c r="F298" s="245"/>
      <c r="G298" s="19" t="s">
        <v>37</v>
      </c>
      <c r="H298" s="251" t="s">
        <v>40</v>
      </c>
      <c r="I298" s="252" t="s">
        <v>66</v>
      </c>
      <c r="J298" s="372" t="s">
        <v>104</v>
      </c>
      <c r="K298" s="901"/>
    </row>
    <row r="299" spans="2:11">
      <c r="B299" s="310"/>
      <c r="C299" s="529" t="s">
        <v>64</v>
      </c>
      <c r="D299" s="196">
        <f>E32</f>
        <v>1999.7179999999998</v>
      </c>
      <c r="E299" s="213">
        <f>(F9)</f>
        <v>3.64</v>
      </c>
      <c r="F299" s="41" t="s">
        <v>162</v>
      </c>
      <c r="G299" s="92">
        <f>data!G20</f>
        <v>7.2972799999999998</v>
      </c>
      <c r="H299" s="124">
        <f>E59</f>
        <v>10129218.75</v>
      </c>
      <c r="I299" s="96" t="s">
        <v>105</v>
      </c>
      <c r="J299" s="125">
        <f>(5*($D$299)*($E$299)^4)/(384*1000*($G$299)*(H299))*1000000000*2</f>
        <v>123.68188773033107</v>
      </c>
      <c r="K299" s="854" t="s">
        <v>229</v>
      </c>
    </row>
    <row r="300" spans="2:11">
      <c r="B300" s="381"/>
      <c r="C300" s="253"/>
      <c r="D300" s="389" t="s">
        <v>71</v>
      </c>
      <c r="E300" s="390" t="s">
        <v>92</v>
      </c>
      <c r="F300" s="254"/>
      <c r="G300" s="391" t="s">
        <v>37</v>
      </c>
      <c r="H300" s="392" t="s">
        <v>40</v>
      </c>
      <c r="I300" s="253" t="s">
        <v>66</v>
      </c>
      <c r="J300" s="390" t="s">
        <v>104</v>
      </c>
      <c r="K300" s="380"/>
    </row>
    <row r="301" spans="2:11">
      <c r="B301" s="68" t="s">
        <v>273</v>
      </c>
      <c r="C301" s="1021" t="s">
        <v>629</v>
      </c>
      <c r="D301" s="196">
        <f>D39</f>
        <v>745.29</v>
      </c>
      <c r="E301" s="286">
        <f>D37</f>
        <v>0.91</v>
      </c>
      <c r="F301" s="41" t="s">
        <v>164</v>
      </c>
      <c r="G301" s="161">
        <f>(E301)</f>
        <v>0.91</v>
      </c>
      <c r="H301" s="96" t="s">
        <v>173</v>
      </c>
      <c r="I301" s="162">
        <f>data!G20</f>
        <v>7.2972799999999998</v>
      </c>
      <c r="J301" s="163">
        <f>E59</f>
        <v>10129218.75</v>
      </c>
      <c r="K301" s="246"/>
    </row>
    <row r="302" spans="2:11">
      <c r="B302" s="68" t="s">
        <v>143</v>
      </c>
      <c r="C302" s="244"/>
      <c r="D302" s="320" t="s">
        <v>71</v>
      </c>
      <c r="E302" s="41"/>
      <c r="F302" s="41"/>
      <c r="G302" s="41"/>
      <c r="H302" s="41"/>
      <c r="I302" s="19" t="s">
        <v>37</v>
      </c>
      <c r="J302" s="321" t="s">
        <v>40</v>
      </c>
      <c r="K302" s="246"/>
    </row>
    <row r="303" spans="2:11">
      <c r="B303" s="243"/>
      <c r="C303" s="244"/>
      <c r="D303" s="164">
        <f>F10</f>
        <v>3.64</v>
      </c>
      <c r="E303" s="1197" t="s">
        <v>105</v>
      </c>
      <c r="F303" s="1197"/>
      <c r="G303" s="125">
        <f>(($D$301)*($E$301)*(($F$9)*($F$9)-($G$301)*($G$301))^(3/2))/(9*3^(0.5)*($I$301)*1000*(J301)*($D$303))*1000000000*2</f>
        <v>14.158468087930011</v>
      </c>
      <c r="H303" s="81" t="s">
        <v>104</v>
      </c>
      <c r="I303" s="41"/>
      <c r="J303" s="19"/>
      <c r="K303" s="246"/>
    </row>
    <row r="304" spans="2:11">
      <c r="B304" s="243"/>
      <c r="C304" s="244"/>
      <c r="D304" s="372" t="s">
        <v>92</v>
      </c>
      <c r="E304" s="245"/>
      <c r="F304" s="252" t="s">
        <v>66</v>
      </c>
      <c r="G304" s="245"/>
      <c r="H304" s="245"/>
      <c r="I304" s="245"/>
      <c r="J304" s="248"/>
      <c r="K304" s="246"/>
    </row>
    <row r="305" spans="2:12">
      <c r="B305" s="243"/>
      <c r="C305" s="573" t="s">
        <v>165</v>
      </c>
      <c r="D305" s="218">
        <f>(J295)+(G303)</f>
        <v>81.062363653143819</v>
      </c>
      <c r="E305" s="84" t="s">
        <v>104</v>
      </c>
      <c r="F305" s="472" t="s">
        <v>267</v>
      </c>
      <c r="G305" s="245"/>
      <c r="H305" s="245"/>
      <c r="I305" s="245"/>
      <c r="J305" s="245"/>
      <c r="K305" s="246"/>
    </row>
    <row r="306" spans="2:12">
      <c r="B306" s="243"/>
      <c r="C306" s="37"/>
      <c r="D306" s="245"/>
      <c r="E306" s="252"/>
      <c r="F306" s="245"/>
      <c r="G306" s="245"/>
      <c r="H306" s="245"/>
      <c r="I306" s="245"/>
      <c r="J306" s="245"/>
      <c r="K306" s="246"/>
    </row>
    <row r="307" spans="2:12" ht="14.25" thickBot="1">
      <c r="B307" s="243"/>
      <c r="C307" s="1013" t="s">
        <v>94</v>
      </c>
      <c r="D307" s="97" t="s">
        <v>68</v>
      </c>
      <c r="E307" s="125">
        <f>1000*(F9)/150</f>
        <v>24.266666666666666</v>
      </c>
      <c r="F307" s="114" t="s">
        <v>248</v>
      </c>
      <c r="G307" s="52" t="s">
        <v>296</v>
      </c>
      <c r="H307" s="245"/>
      <c r="I307" s="245"/>
      <c r="J307" s="175" t="s">
        <v>322</v>
      </c>
      <c r="K307" s="619" t="str">
        <f>IF(D305&lt;=E307,"◯","×")</f>
        <v>×</v>
      </c>
    </row>
    <row r="308" spans="2:12">
      <c r="B308" s="243"/>
      <c r="C308" s="269"/>
      <c r="D308" s="257"/>
      <c r="E308" s="257"/>
      <c r="F308" s="257"/>
      <c r="G308" s="257"/>
      <c r="H308" s="257"/>
      <c r="I308" s="257"/>
      <c r="J308" s="257"/>
      <c r="K308" s="258"/>
    </row>
    <row r="309" spans="2:12">
      <c r="B309" s="243"/>
      <c r="C309" s="1021" t="s">
        <v>630</v>
      </c>
      <c r="D309" s="196">
        <f>E39</f>
        <v>2342.6949</v>
      </c>
      <c r="E309" s="286">
        <f>D37</f>
        <v>0.91</v>
      </c>
      <c r="F309" s="41" t="s">
        <v>164</v>
      </c>
      <c r="G309" s="161">
        <f>(E309)</f>
        <v>0.91</v>
      </c>
      <c r="H309" s="96" t="s">
        <v>173</v>
      </c>
      <c r="I309" s="162">
        <f>data!G20</f>
        <v>7.2972799999999998</v>
      </c>
      <c r="J309" s="163">
        <f>E59</f>
        <v>10129218.75</v>
      </c>
      <c r="K309" s="246"/>
    </row>
    <row r="310" spans="2:12">
      <c r="B310" s="243"/>
      <c r="C310" s="244"/>
      <c r="D310" s="371" t="s">
        <v>71</v>
      </c>
      <c r="E310" s="41"/>
      <c r="F310" s="41"/>
      <c r="G310" s="41"/>
      <c r="H310" s="41"/>
      <c r="I310" s="19" t="s">
        <v>37</v>
      </c>
      <c r="J310" s="372" t="s">
        <v>40</v>
      </c>
      <c r="K310" s="246"/>
    </row>
    <row r="311" spans="2:12">
      <c r="B311" s="243"/>
      <c r="C311" s="244"/>
      <c r="D311" s="164">
        <f>F10</f>
        <v>3.64</v>
      </c>
      <c r="E311" s="1197" t="s">
        <v>105</v>
      </c>
      <c r="F311" s="1197"/>
      <c r="G311" s="125">
        <f>(($D$309)*($E$309)*(($F$9)*($F$9)-($G$309)*($G$309))^(3/2))/(9*3^(0.5)*($I$309)*1000*(J309)*($D$311))*1000000000*2</f>
        <v>44.504784689726662</v>
      </c>
      <c r="H311" s="81" t="s">
        <v>104</v>
      </c>
      <c r="I311" s="41"/>
      <c r="J311" s="19"/>
      <c r="K311" s="246"/>
    </row>
    <row r="312" spans="2:12">
      <c r="B312" s="243"/>
      <c r="C312" s="244"/>
      <c r="D312" s="372" t="s">
        <v>92</v>
      </c>
      <c r="E312" s="245"/>
      <c r="F312" s="252" t="s">
        <v>66</v>
      </c>
      <c r="G312" s="245"/>
      <c r="H312" s="245"/>
      <c r="I312" s="245"/>
      <c r="J312" s="248"/>
      <c r="K312" s="246"/>
    </row>
    <row r="313" spans="2:12">
      <c r="B313" s="243"/>
      <c r="C313" s="573" t="s">
        <v>165</v>
      </c>
      <c r="D313" s="218">
        <f>(J297)+(G311)</f>
        <v>151.17801463638972</v>
      </c>
      <c r="E313" s="84" t="s">
        <v>104</v>
      </c>
      <c r="F313" s="851" t="s">
        <v>228</v>
      </c>
      <c r="G313" s="245"/>
      <c r="H313" s="245"/>
      <c r="I313" s="245"/>
      <c r="J313" s="245"/>
      <c r="K313" s="246"/>
    </row>
    <row r="314" spans="2:12">
      <c r="B314" s="243"/>
      <c r="C314" s="37"/>
      <c r="D314" s="245"/>
      <c r="E314" s="252"/>
      <c r="F314" s="245"/>
      <c r="G314" s="245"/>
      <c r="H314" s="245"/>
      <c r="I314" s="245"/>
      <c r="J314" s="245"/>
      <c r="K314" s="246"/>
    </row>
    <row r="315" spans="2:12" ht="14.25" thickBot="1">
      <c r="B315" s="243"/>
      <c r="C315" s="1013" t="s">
        <v>94</v>
      </c>
      <c r="D315" s="97" t="s">
        <v>68</v>
      </c>
      <c r="E315" s="125">
        <f>1000*(F9)/150</f>
        <v>24.266666666666666</v>
      </c>
      <c r="F315" s="92" t="s">
        <v>248</v>
      </c>
      <c r="G315" s="52" t="s">
        <v>296</v>
      </c>
      <c r="H315" s="245"/>
      <c r="I315" s="245"/>
      <c r="J315" s="25" t="s">
        <v>446</v>
      </c>
      <c r="K315" s="619" t="str">
        <f>IF(D313&lt;=E315,"◯","×")</f>
        <v>×</v>
      </c>
      <c r="L315" s="175" t="s">
        <v>322</v>
      </c>
    </row>
    <row r="316" spans="2:12" ht="15" thickTop="1" thickBot="1">
      <c r="B316" s="243"/>
      <c r="C316" s="96"/>
      <c r="D316" s="97" t="s">
        <v>68</v>
      </c>
      <c r="E316" s="125">
        <f>1000*(F9)/100</f>
        <v>36.4</v>
      </c>
      <c r="F316" s="92" t="s">
        <v>249</v>
      </c>
      <c r="G316" s="52" t="s">
        <v>298</v>
      </c>
      <c r="H316" s="245"/>
      <c r="I316" s="245"/>
      <c r="J316" s="638" t="s">
        <v>447</v>
      </c>
      <c r="K316" s="619" t="str">
        <f>IF(D313&lt;=E316,"◯","×")</f>
        <v>×</v>
      </c>
      <c r="L316" s="619" t="str">
        <f>IF(K315="◯",IF(K316="◯","◯","×"),"×")</f>
        <v>×</v>
      </c>
    </row>
    <row r="317" spans="2:12" ht="14.25" thickTop="1">
      <c r="B317" s="243"/>
      <c r="C317" s="269"/>
      <c r="D317" s="257"/>
      <c r="E317" s="257"/>
      <c r="F317" s="257"/>
      <c r="G317" s="257"/>
      <c r="H317" s="257"/>
      <c r="I317" s="257"/>
      <c r="J317" s="257"/>
      <c r="K317" s="258"/>
    </row>
    <row r="318" spans="2:12">
      <c r="B318" s="243"/>
      <c r="C318" s="1021" t="s">
        <v>631</v>
      </c>
      <c r="D318" s="196">
        <f>F39</f>
        <v>3025.8774000000003</v>
      </c>
      <c r="E318" s="286">
        <f>D37</f>
        <v>0.91</v>
      </c>
      <c r="F318" s="41" t="s">
        <v>164</v>
      </c>
      <c r="G318" s="161">
        <f>(E318)</f>
        <v>0.91</v>
      </c>
      <c r="H318" s="96" t="s">
        <v>173</v>
      </c>
      <c r="I318" s="162">
        <f>data!G20</f>
        <v>7.2972799999999998</v>
      </c>
      <c r="J318" s="163">
        <f>E59</f>
        <v>10129218.75</v>
      </c>
      <c r="K318" s="246"/>
    </row>
    <row r="319" spans="2:12">
      <c r="B319" s="243"/>
      <c r="C319" s="244"/>
      <c r="D319" s="371" t="s">
        <v>71</v>
      </c>
      <c r="E319" s="41"/>
      <c r="F319" s="41"/>
      <c r="G319" s="41"/>
      <c r="H319" s="41"/>
      <c r="I319" s="19" t="s">
        <v>37</v>
      </c>
      <c r="J319" s="372" t="s">
        <v>40</v>
      </c>
      <c r="K319" s="246"/>
    </row>
    <row r="320" spans="2:12">
      <c r="B320" s="243"/>
      <c r="C320" s="252"/>
      <c r="D320" s="287">
        <f>F10</f>
        <v>3.64</v>
      </c>
      <c r="E320" s="1167" t="s">
        <v>105</v>
      </c>
      <c r="F320" s="1167"/>
      <c r="G320" s="159">
        <f>((D318)*(E318)*((F9)*(F9)-(G318)*(G318))^(3/2))/(9*3^(0.5)*(I318)*1000*(J318)*(D320))*1000000000*2</f>
        <v>57.483380436995844</v>
      </c>
      <c r="H320" s="81" t="s">
        <v>104</v>
      </c>
      <c r="I320" s="19"/>
      <c r="J320" s="19"/>
      <c r="K320" s="246"/>
    </row>
    <row r="321" spans="2:12">
      <c r="B321" s="243"/>
      <c r="C321" s="252"/>
      <c r="D321" s="372" t="s">
        <v>92</v>
      </c>
      <c r="E321" s="248"/>
      <c r="F321" s="252" t="s">
        <v>66</v>
      </c>
      <c r="G321" s="248"/>
      <c r="H321" s="248"/>
      <c r="I321" s="248"/>
      <c r="J321" s="248"/>
      <c r="K321" s="246"/>
    </row>
    <row r="322" spans="2:12">
      <c r="B322" s="243"/>
      <c r="C322" s="585" t="s">
        <v>165</v>
      </c>
      <c r="D322" s="288">
        <f>(J299)+(G320)</f>
        <v>181.16526816732693</v>
      </c>
      <c r="E322" s="84" t="s">
        <v>104</v>
      </c>
      <c r="F322" s="851" t="s">
        <v>229</v>
      </c>
      <c r="G322" s="248"/>
      <c r="H322" s="248"/>
      <c r="I322" s="248"/>
      <c r="J322" s="248"/>
      <c r="K322" s="246"/>
    </row>
    <row r="323" spans="2:12">
      <c r="B323" s="243"/>
      <c r="C323" s="66"/>
      <c r="D323" s="248"/>
      <c r="E323" s="252"/>
      <c r="F323" s="248"/>
      <c r="G323" s="248"/>
      <c r="H323" s="248"/>
      <c r="I323" s="248"/>
      <c r="J323" s="248"/>
      <c r="K323" s="246"/>
    </row>
    <row r="324" spans="2:12" ht="14.25" thickBot="1">
      <c r="B324" s="243"/>
      <c r="C324" s="1011" t="s">
        <v>94</v>
      </c>
      <c r="D324" s="93" t="s">
        <v>68</v>
      </c>
      <c r="E324" s="159">
        <f>1000*(F9)/150</f>
        <v>24.266666666666666</v>
      </c>
      <c r="F324" s="19" t="s">
        <v>248</v>
      </c>
      <c r="G324" s="67" t="s">
        <v>296</v>
      </c>
      <c r="H324" s="248"/>
      <c r="I324" s="248"/>
      <c r="J324" s="25" t="s">
        <v>446</v>
      </c>
      <c r="K324" s="619" t="str">
        <f>IF(D322&lt;=E324,"◯","×")</f>
        <v>×</v>
      </c>
      <c r="L324" s="175" t="s">
        <v>322</v>
      </c>
    </row>
    <row r="325" spans="2:12" ht="15" thickTop="1" thickBot="1">
      <c r="B325" s="243"/>
      <c r="C325" s="81"/>
      <c r="D325" s="93" t="s">
        <v>68</v>
      </c>
      <c r="E325" s="159">
        <f>1000*(F9)/100</f>
        <v>36.4</v>
      </c>
      <c r="F325" s="19" t="s">
        <v>249</v>
      </c>
      <c r="G325" s="67" t="s">
        <v>298</v>
      </c>
      <c r="H325" s="248"/>
      <c r="I325" s="248"/>
      <c r="J325" s="638" t="s">
        <v>447</v>
      </c>
      <c r="K325" s="619" t="str">
        <f>IF(D322&lt;=E325,"◯","×")</f>
        <v>×</v>
      </c>
      <c r="L325" s="619" t="str">
        <f>IF(K324="◯",IF(K325="◯","◯","×"),"×")</f>
        <v>×</v>
      </c>
    </row>
    <row r="326" spans="2:12" ht="15" thickTop="1" thickBot="1">
      <c r="B326" s="359"/>
      <c r="C326" s="360"/>
      <c r="D326" s="361"/>
      <c r="E326" s="361"/>
      <c r="F326" s="361"/>
      <c r="G326" s="361"/>
      <c r="H326" s="361"/>
      <c r="I326" s="361"/>
      <c r="J326" s="361"/>
      <c r="K326" s="385"/>
    </row>
    <row r="327" spans="2:12">
      <c r="B327" s="383" t="s">
        <v>279</v>
      </c>
      <c r="C327" s="252"/>
      <c r="D327" s="248"/>
      <c r="E327" s="248"/>
      <c r="F327" s="248"/>
      <c r="G327" s="248"/>
      <c r="H327" s="248"/>
      <c r="I327" s="248"/>
      <c r="J327" s="248"/>
      <c r="K327" s="246"/>
    </row>
    <row r="328" spans="2:12">
      <c r="B328" s="68" t="s">
        <v>143</v>
      </c>
      <c r="C328" s="1022" t="s">
        <v>605</v>
      </c>
      <c r="D328" s="196">
        <f>D44</f>
        <v>745.29</v>
      </c>
      <c r="E328" s="286">
        <f>D42</f>
        <v>1.82</v>
      </c>
      <c r="F328" s="41" t="s">
        <v>164</v>
      </c>
      <c r="G328" s="161">
        <f>(E328)</f>
        <v>1.82</v>
      </c>
      <c r="H328" s="96" t="s">
        <v>173</v>
      </c>
      <c r="I328" s="162">
        <f>data!G20</f>
        <v>7.2972799999999998</v>
      </c>
      <c r="J328" s="163">
        <f>E59</f>
        <v>10129218.75</v>
      </c>
      <c r="K328" s="246"/>
    </row>
    <row r="329" spans="2:12">
      <c r="B329" s="68"/>
      <c r="C329" s="244"/>
      <c r="D329" s="371" t="s">
        <v>71</v>
      </c>
      <c r="E329" s="41"/>
      <c r="F329" s="41"/>
      <c r="G329" s="41"/>
      <c r="H329" s="41"/>
      <c r="I329" s="19" t="s">
        <v>37</v>
      </c>
      <c r="J329" s="372" t="s">
        <v>40</v>
      </c>
      <c r="K329" s="246"/>
    </row>
    <row r="330" spans="2:12">
      <c r="B330" s="243"/>
      <c r="C330" s="244"/>
      <c r="D330" s="164">
        <f>F9</f>
        <v>3.64</v>
      </c>
      <c r="E330" s="1197" t="s">
        <v>105</v>
      </c>
      <c r="F330" s="1197"/>
      <c r="G330" s="125">
        <f>(($D$328)*($E$328)*(($F$9)*($F$9)-($G$328)*($G$328))^(3/2))/(9*3^(0.5)*($I$328)*1000*(J328)*($D$330))*1000000000*2</f>
        <v>20.261950145198696</v>
      </c>
      <c r="H330" s="81" t="s">
        <v>104</v>
      </c>
      <c r="I330" s="41"/>
      <c r="J330" s="19"/>
      <c r="K330" s="246"/>
    </row>
    <row r="331" spans="2:12">
      <c r="B331" s="243"/>
      <c r="C331" s="244"/>
      <c r="D331" s="372" t="s">
        <v>92</v>
      </c>
      <c r="E331" s="245"/>
      <c r="F331" s="252" t="s">
        <v>66</v>
      </c>
      <c r="G331" s="245"/>
      <c r="H331" s="245"/>
      <c r="I331" s="245"/>
      <c r="J331" s="248"/>
      <c r="K331" s="246"/>
    </row>
    <row r="332" spans="2:12">
      <c r="B332" s="243"/>
      <c r="C332" s="573" t="s">
        <v>165</v>
      </c>
      <c r="D332" s="218">
        <f>(J295)+(G330)</f>
        <v>87.165845710412512</v>
      </c>
      <c r="E332" s="84" t="s">
        <v>104</v>
      </c>
      <c r="F332" s="472" t="s">
        <v>267</v>
      </c>
      <c r="G332" s="245"/>
      <c r="H332" s="245"/>
      <c r="I332" s="245"/>
      <c r="J332" s="245"/>
      <c r="K332" s="246"/>
    </row>
    <row r="333" spans="2:12">
      <c r="B333" s="243"/>
      <c r="C333" s="37"/>
      <c r="D333" s="245"/>
      <c r="E333" s="252"/>
      <c r="F333" s="245"/>
      <c r="G333" s="245"/>
      <c r="H333" s="245"/>
      <c r="I333" s="245"/>
      <c r="J333" s="245"/>
      <c r="K333" s="246"/>
    </row>
    <row r="334" spans="2:12" ht="14.25" thickBot="1">
      <c r="B334" s="243"/>
      <c r="C334" s="1013" t="s">
        <v>94</v>
      </c>
      <c r="D334" s="97" t="s">
        <v>68</v>
      </c>
      <c r="E334" s="125">
        <f>1000*(F9)/150</f>
        <v>24.266666666666666</v>
      </c>
      <c r="F334" s="114" t="s">
        <v>248</v>
      </c>
      <c r="G334" s="52" t="s">
        <v>296</v>
      </c>
      <c r="H334" s="245"/>
      <c r="I334" s="245"/>
      <c r="J334" s="175" t="s">
        <v>322</v>
      </c>
      <c r="K334" s="619" t="str">
        <f>IF(D332&lt;=E334,"◯","×")</f>
        <v>×</v>
      </c>
    </row>
    <row r="335" spans="2:12">
      <c r="B335" s="243"/>
      <c r="C335" s="269"/>
      <c r="D335" s="257"/>
      <c r="E335" s="257"/>
      <c r="F335" s="257"/>
      <c r="G335" s="257"/>
      <c r="H335" s="257"/>
      <c r="I335" s="257"/>
      <c r="J335" s="257"/>
      <c r="K335" s="258"/>
    </row>
    <row r="336" spans="2:12">
      <c r="B336" s="243"/>
      <c r="C336" s="1021" t="s">
        <v>630</v>
      </c>
      <c r="D336" s="196">
        <f>E44</f>
        <v>2342.6949</v>
      </c>
      <c r="E336" s="286">
        <f>D42</f>
        <v>1.82</v>
      </c>
      <c r="F336" s="41" t="s">
        <v>164</v>
      </c>
      <c r="G336" s="161">
        <f>(E336)</f>
        <v>1.82</v>
      </c>
      <c r="H336" s="96" t="s">
        <v>173</v>
      </c>
      <c r="I336" s="162">
        <f>data!G20</f>
        <v>7.2972799999999998</v>
      </c>
      <c r="J336" s="163">
        <f>E59</f>
        <v>10129218.75</v>
      </c>
      <c r="K336" s="246"/>
    </row>
    <row r="337" spans="2:12">
      <c r="B337" s="243"/>
      <c r="C337" s="244"/>
      <c r="D337" s="371" t="s">
        <v>71</v>
      </c>
      <c r="E337" s="41"/>
      <c r="F337" s="41"/>
      <c r="G337" s="41"/>
      <c r="H337" s="41"/>
      <c r="I337" s="19" t="s">
        <v>37</v>
      </c>
      <c r="J337" s="372" t="s">
        <v>40</v>
      </c>
      <c r="K337" s="246"/>
    </row>
    <row r="338" spans="2:12">
      <c r="B338" s="243"/>
      <c r="C338" s="244"/>
      <c r="D338" s="164">
        <f>F9</f>
        <v>3.64</v>
      </c>
      <c r="E338" s="1197" t="s">
        <v>105</v>
      </c>
      <c r="F338" s="1197"/>
      <c r="G338" s="125">
        <f>(($D$336)*($E$336)*(($F$9)*($F$9)-($G$336)*($G$336))^(3/2))/(9*3^(0.5)*($I$336)*1000*(J336)*($D$338))*1000000000*2</f>
        <v>63.690063289741254</v>
      </c>
      <c r="H338" s="81" t="s">
        <v>104</v>
      </c>
      <c r="I338" s="41"/>
      <c r="J338" s="19"/>
      <c r="K338" s="246"/>
    </row>
    <row r="339" spans="2:12">
      <c r="B339" s="243"/>
      <c r="C339" s="244"/>
      <c r="D339" s="372" t="s">
        <v>92</v>
      </c>
      <c r="E339" s="245"/>
      <c r="F339" s="252" t="s">
        <v>66</v>
      </c>
      <c r="G339" s="245"/>
      <c r="H339" s="245"/>
      <c r="I339" s="245"/>
      <c r="J339" s="248"/>
      <c r="K339" s="246"/>
    </row>
    <row r="340" spans="2:12">
      <c r="B340" s="243"/>
      <c r="C340" s="573" t="s">
        <v>165</v>
      </c>
      <c r="D340" s="218">
        <f>(J297)+(G338)</f>
        <v>170.3632932364043</v>
      </c>
      <c r="E340" s="84" t="s">
        <v>104</v>
      </c>
      <c r="F340" s="851" t="s">
        <v>228</v>
      </c>
      <c r="G340" s="245"/>
      <c r="H340" s="245"/>
      <c r="I340" s="245"/>
      <c r="J340" s="245"/>
      <c r="K340" s="246"/>
    </row>
    <row r="341" spans="2:12">
      <c r="B341" s="243"/>
      <c r="C341" s="37"/>
      <c r="D341" s="245"/>
      <c r="E341" s="252"/>
      <c r="F341" s="245"/>
      <c r="G341" s="245"/>
      <c r="H341" s="245"/>
      <c r="I341" s="245"/>
      <c r="J341" s="245"/>
      <c r="K341" s="246"/>
    </row>
    <row r="342" spans="2:12" ht="14.25" thickBot="1">
      <c r="B342" s="243"/>
      <c r="C342" s="1013" t="s">
        <v>94</v>
      </c>
      <c r="D342" s="97" t="s">
        <v>68</v>
      </c>
      <c r="E342" s="125">
        <f>1000*(F9)/150</f>
        <v>24.266666666666666</v>
      </c>
      <c r="F342" s="92" t="s">
        <v>248</v>
      </c>
      <c r="G342" s="52" t="s">
        <v>296</v>
      </c>
      <c r="H342" s="245"/>
      <c r="I342" s="245"/>
      <c r="J342" s="25" t="s">
        <v>446</v>
      </c>
      <c r="K342" s="619" t="str">
        <f>IF(D340&lt;=E342,"◯","×")</f>
        <v>×</v>
      </c>
      <c r="L342" s="175" t="s">
        <v>322</v>
      </c>
    </row>
    <row r="343" spans="2:12" ht="15" thickTop="1" thickBot="1">
      <c r="B343" s="243"/>
      <c r="C343" s="96"/>
      <c r="D343" s="97" t="s">
        <v>68</v>
      </c>
      <c r="E343" s="125">
        <f>1000*(F9)/100</f>
        <v>36.4</v>
      </c>
      <c r="F343" s="92" t="s">
        <v>249</v>
      </c>
      <c r="G343" s="52" t="s">
        <v>298</v>
      </c>
      <c r="H343" s="245"/>
      <c r="I343" s="245"/>
      <c r="J343" s="638" t="s">
        <v>447</v>
      </c>
      <c r="K343" s="619" t="str">
        <f>IF(D340&lt;=E343,"◯","×")</f>
        <v>×</v>
      </c>
      <c r="L343" s="619" t="str">
        <f>IF(K342="◯",IF(K343="◯","◯","×"),"×")</f>
        <v>×</v>
      </c>
    </row>
    <row r="344" spans="2:12" ht="14.25" thickTop="1">
      <c r="B344" s="243"/>
      <c r="C344" s="269"/>
      <c r="D344" s="257"/>
      <c r="E344" s="257"/>
      <c r="F344" s="257"/>
      <c r="G344" s="257"/>
      <c r="H344" s="257"/>
      <c r="I344" s="257"/>
      <c r="J344" s="257"/>
      <c r="K344" s="258"/>
    </row>
    <row r="345" spans="2:12">
      <c r="B345" s="243"/>
      <c r="C345" s="1021" t="s">
        <v>632</v>
      </c>
      <c r="D345" s="196">
        <f>F44</f>
        <v>3025.8774000000003</v>
      </c>
      <c r="E345" s="286">
        <f>D42</f>
        <v>1.82</v>
      </c>
      <c r="F345" s="41" t="s">
        <v>164</v>
      </c>
      <c r="G345" s="161">
        <f>(E345)</f>
        <v>1.82</v>
      </c>
      <c r="H345" s="96" t="s">
        <v>173</v>
      </c>
      <c r="I345" s="162">
        <f>data!G20</f>
        <v>7.2972799999999998</v>
      </c>
      <c r="J345" s="163">
        <f>E59</f>
        <v>10129218.75</v>
      </c>
      <c r="K345" s="246"/>
    </row>
    <row r="346" spans="2:12">
      <c r="B346" s="243"/>
      <c r="C346" s="244"/>
      <c r="D346" s="371" t="s">
        <v>71</v>
      </c>
      <c r="E346" s="41"/>
      <c r="F346" s="41"/>
      <c r="G346" s="41"/>
      <c r="H346" s="41"/>
      <c r="I346" s="19" t="s">
        <v>37</v>
      </c>
      <c r="J346" s="372" t="s">
        <v>40</v>
      </c>
      <c r="K346" s="246"/>
    </row>
    <row r="347" spans="2:12">
      <c r="B347" s="243"/>
      <c r="C347" s="252"/>
      <c r="D347" s="287">
        <f>F9</f>
        <v>3.64</v>
      </c>
      <c r="E347" s="1167" t="s">
        <v>105</v>
      </c>
      <c r="F347" s="1167"/>
      <c r="G347" s="159">
        <f>((D345)*(E345)*((F9)*(F9)-(G345)*(G345))^(3/2))/(9*3^(0.5)*(I345)*1000*(J345)*(D347))*1000000000*2</f>
        <v>82.263517589506719</v>
      </c>
      <c r="H347" s="81" t="s">
        <v>104</v>
      </c>
      <c r="I347" s="19"/>
      <c r="J347" s="19"/>
      <c r="K347" s="246"/>
    </row>
    <row r="348" spans="2:12">
      <c r="B348" s="243"/>
      <c r="C348" s="252"/>
      <c r="D348" s="372" t="s">
        <v>92</v>
      </c>
      <c r="E348" s="248"/>
      <c r="F348" s="252" t="s">
        <v>66</v>
      </c>
      <c r="G348" s="248"/>
      <c r="H348" s="248"/>
      <c r="I348" s="248"/>
      <c r="J348" s="248"/>
      <c r="K348" s="246"/>
    </row>
    <row r="349" spans="2:12">
      <c r="B349" s="243"/>
      <c r="C349" s="585" t="s">
        <v>165</v>
      </c>
      <c r="D349" s="288">
        <f>(J299)+(G347)</f>
        <v>205.94540531983779</v>
      </c>
      <c r="E349" s="84" t="s">
        <v>104</v>
      </c>
      <c r="F349" s="851" t="s">
        <v>229</v>
      </c>
      <c r="G349" s="248"/>
      <c r="H349" s="248"/>
      <c r="I349" s="248"/>
      <c r="J349" s="248"/>
      <c r="K349" s="246"/>
    </row>
    <row r="350" spans="2:12">
      <c r="B350" s="243"/>
      <c r="C350" s="66"/>
      <c r="D350" s="248"/>
      <c r="E350" s="252"/>
      <c r="F350" s="248"/>
      <c r="G350" s="248"/>
      <c r="H350" s="248"/>
      <c r="I350" s="248"/>
      <c r="J350" s="248"/>
      <c r="K350" s="246"/>
    </row>
    <row r="351" spans="2:12" ht="14.25" thickBot="1">
      <c r="B351" s="243"/>
      <c r="C351" s="1011" t="s">
        <v>94</v>
      </c>
      <c r="D351" s="93" t="s">
        <v>68</v>
      </c>
      <c r="E351" s="159">
        <f>1000*(F9)/150</f>
        <v>24.266666666666666</v>
      </c>
      <c r="F351" s="19" t="s">
        <v>248</v>
      </c>
      <c r="G351" s="67" t="s">
        <v>296</v>
      </c>
      <c r="H351" s="248"/>
      <c r="I351" s="248"/>
      <c r="J351" s="25" t="s">
        <v>446</v>
      </c>
      <c r="K351" s="619" t="str">
        <f>IF(D349&lt;=E351,"◯","×")</f>
        <v>×</v>
      </c>
      <c r="L351" s="175" t="s">
        <v>322</v>
      </c>
    </row>
    <row r="352" spans="2:12" ht="15" thickTop="1" thickBot="1">
      <c r="B352" s="243"/>
      <c r="C352" s="81"/>
      <c r="D352" s="93" t="s">
        <v>68</v>
      </c>
      <c r="E352" s="159">
        <f>1000*(F9)/100</f>
        <v>36.4</v>
      </c>
      <c r="F352" s="19" t="s">
        <v>249</v>
      </c>
      <c r="G352" s="67" t="s">
        <v>298</v>
      </c>
      <c r="H352" s="248"/>
      <c r="I352" s="248"/>
      <c r="J352" s="638" t="s">
        <v>447</v>
      </c>
      <c r="K352" s="619" t="str">
        <f>IF(D349&lt;=E352,"◯","×")</f>
        <v>×</v>
      </c>
      <c r="L352" s="619" t="str">
        <f>IF(K351="◯",IF(K352="◯","◯","×"),"×")</f>
        <v>×</v>
      </c>
    </row>
    <row r="353" spans="2:11" ht="15" thickTop="1" thickBot="1">
      <c r="B353" s="359"/>
      <c r="C353" s="360"/>
      <c r="D353" s="361"/>
      <c r="E353" s="361"/>
      <c r="F353" s="361"/>
      <c r="G353" s="361"/>
      <c r="H353" s="361"/>
      <c r="I353" s="361"/>
      <c r="J353" s="361"/>
      <c r="K353" s="385"/>
    </row>
    <row r="354" spans="2:11">
      <c r="B354" s="386" t="s">
        <v>269</v>
      </c>
      <c r="C354" s="244"/>
      <c r="D354" s="245"/>
      <c r="E354" s="245"/>
      <c r="F354" s="245"/>
      <c r="G354" s="245"/>
      <c r="H354" s="245"/>
      <c r="I354" s="245"/>
      <c r="J354" s="248"/>
      <c r="K354" s="246"/>
    </row>
    <row r="355" spans="2:11">
      <c r="B355" s="68" t="s">
        <v>143</v>
      </c>
      <c r="C355" s="1021" t="s">
        <v>633</v>
      </c>
      <c r="D355" s="196">
        <f>D49</f>
        <v>745.29</v>
      </c>
      <c r="E355" s="286">
        <f>D47</f>
        <v>0.91</v>
      </c>
      <c r="F355" s="41" t="s">
        <v>164</v>
      </c>
      <c r="G355" s="161">
        <f>(E355)</f>
        <v>0.91</v>
      </c>
      <c r="H355" s="96" t="s">
        <v>173</v>
      </c>
      <c r="I355" s="162">
        <f>data!G20</f>
        <v>7.2972799999999998</v>
      </c>
      <c r="J355" s="163">
        <f>E59</f>
        <v>10129218.75</v>
      </c>
      <c r="K355" s="246"/>
    </row>
    <row r="356" spans="2:11">
      <c r="B356" s="68"/>
      <c r="C356" s="244"/>
      <c r="D356" s="371" t="s">
        <v>71</v>
      </c>
      <c r="E356" s="41"/>
      <c r="F356" s="41"/>
      <c r="G356" s="41"/>
      <c r="H356" s="41"/>
      <c r="I356" s="19" t="s">
        <v>37</v>
      </c>
      <c r="J356" s="372" t="s">
        <v>40</v>
      </c>
      <c r="K356" s="246"/>
    </row>
    <row r="357" spans="2:11">
      <c r="B357" s="243"/>
      <c r="C357" s="244"/>
      <c r="D357" s="164">
        <f>F9</f>
        <v>3.64</v>
      </c>
      <c r="E357" s="371" t="s">
        <v>105</v>
      </c>
      <c r="F357" s="371"/>
      <c r="G357" s="125">
        <f>((D355)*(E355)*((F9)*(F9)-(G355)*(G355))^(3/2))/(9*3^(0.5)*(I355)*1000*(J355)*(D357))*1000000000*2</f>
        <v>14.158468087930011</v>
      </c>
      <c r="H357" s="81" t="s">
        <v>104</v>
      </c>
      <c r="I357" s="41"/>
      <c r="J357" s="19"/>
      <c r="K357" s="246"/>
    </row>
    <row r="358" spans="2:11">
      <c r="B358" s="243"/>
      <c r="C358" s="244"/>
      <c r="D358" s="372" t="s">
        <v>92</v>
      </c>
      <c r="E358" s="245"/>
      <c r="F358" s="252" t="s">
        <v>66</v>
      </c>
      <c r="G358" s="245"/>
      <c r="H358" s="245"/>
      <c r="I358" s="245"/>
      <c r="J358" s="248"/>
      <c r="K358" s="246"/>
    </row>
    <row r="359" spans="2:11">
      <c r="B359" s="243"/>
      <c r="C359" s="1021" t="s">
        <v>634</v>
      </c>
      <c r="D359" s="196">
        <f>D50</f>
        <v>745.29</v>
      </c>
      <c r="E359" s="286">
        <f>D47</f>
        <v>0.91</v>
      </c>
      <c r="F359" s="41" t="s">
        <v>164</v>
      </c>
      <c r="G359" s="289">
        <f>E359</f>
        <v>0.91</v>
      </c>
      <c r="H359" s="96" t="s">
        <v>173</v>
      </c>
      <c r="I359" s="299">
        <f>data!G20</f>
        <v>7.2972799999999998</v>
      </c>
      <c r="J359" s="163">
        <f>E59</f>
        <v>10129218.75</v>
      </c>
      <c r="K359" s="246"/>
    </row>
    <row r="360" spans="2:11">
      <c r="B360" s="243"/>
      <c r="C360" s="37"/>
      <c r="D360" s="371" t="s">
        <v>71</v>
      </c>
      <c r="E360" s="81"/>
      <c r="F360" s="41"/>
      <c r="G360" s="41"/>
      <c r="H360" s="41"/>
      <c r="I360" s="19" t="s">
        <v>37</v>
      </c>
      <c r="J360" s="372" t="s">
        <v>40</v>
      </c>
      <c r="K360" s="246"/>
    </row>
    <row r="361" spans="2:11">
      <c r="B361" s="243"/>
      <c r="C361" s="244"/>
      <c r="D361" s="165">
        <f>F9</f>
        <v>3.64</v>
      </c>
      <c r="E361" s="1197" t="s">
        <v>105</v>
      </c>
      <c r="F361" s="1197"/>
      <c r="G361" s="218">
        <f>((D359)*(E359)*((F9)^2-(G359)^2)^(3/2)/(9*3^(1/2)*(I359)*1000*(J359)*(D361))*1000000000*2)</f>
        <v>14.158468087930011</v>
      </c>
      <c r="H361" s="81" t="s">
        <v>104</v>
      </c>
      <c r="I361" s="41"/>
      <c r="J361" s="19"/>
      <c r="K361" s="246"/>
    </row>
    <row r="362" spans="2:11">
      <c r="B362" s="243"/>
      <c r="C362" s="244"/>
      <c r="D362" s="372" t="s">
        <v>92</v>
      </c>
      <c r="E362" s="245"/>
      <c r="F362" s="252" t="s">
        <v>66</v>
      </c>
      <c r="G362" s="245"/>
      <c r="H362" s="252"/>
      <c r="I362" s="245"/>
      <c r="J362" s="248"/>
      <c r="K362" s="246"/>
    </row>
    <row r="363" spans="2:11">
      <c r="B363" s="243"/>
      <c r="C363" s="573" t="s">
        <v>165</v>
      </c>
      <c r="D363" s="218">
        <f>(J295)+(G357)+(G361)</f>
        <v>95.220831741073823</v>
      </c>
      <c r="E363" s="84" t="s">
        <v>104</v>
      </c>
      <c r="F363" s="472" t="s">
        <v>267</v>
      </c>
      <c r="G363" s="245"/>
      <c r="H363" s="245"/>
      <c r="I363" s="245"/>
      <c r="J363" s="248"/>
      <c r="K363" s="246"/>
    </row>
    <row r="364" spans="2:11">
      <c r="B364" s="243"/>
      <c r="C364" s="37"/>
      <c r="D364" s="245"/>
      <c r="E364" s="252"/>
      <c r="F364" s="245"/>
      <c r="G364" s="245"/>
      <c r="H364" s="245"/>
      <c r="I364" s="245"/>
      <c r="J364" s="248"/>
      <c r="K364" s="246"/>
    </row>
    <row r="365" spans="2:11" ht="14.25" thickBot="1">
      <c r="B365" s="243"/>
      <c r="C365" s="219" t="s">
        <v>94</v>
      </c>
      <c r="D365" s="97" t="s">
        <v>68</v>
      </c>
      <c r="E365" s="125">
        <f>1000*(F9)/150</f>
        <v>24.266666666666666</v>
      </c>
      <c r="F365" s="92" t="s">
        <v>248</v>
      </c>
      <c r="G365" s="248"/>
      <c r="H365" s="248"/>
      <c r="I365" s="248"/>
      <c r="J365" s="175" t="s">
        <v>322</v>
      </c>
      <c r="K365" s="619" t="str">
        <f>IF(D363&lt;=E365,"◯","×")</f>
        <v>×</v>
      </c>
    </row>
    <row r="366" spans="2:11">
      <c r="B366" s="243"/>
      <c r="C366" s="269"/>
      <c r="D366" s="257"/>
      <c r="E366" s="257"/>
      <c r="F366" s="257"/>
      <c r="G366" s="257"/>
      <c r="H366" s="257"/>
      <c r="I366" s="257"/>
      <c r="J366" s="257"/>
      <c r="K366" s="258"/>
    </row>
    <row r="367" spans="2:11">
      <c r="B367" s="243"/>
      <c r="C367" s="1021" t="s">
        <v>635</v>
      </c>
      <c r="D367" s="196">
        <f>E49</f>
        <v>2342.6949</v>
      </c>
      <c r="E367" s="286">
        <f>D47</f>
        <v>0.91</v>
      </c>
      <c r="F367" s="41" t="s">
        <v>164</v>
      </c>
      <c r="G367" s="161">
        <f>(E367)</f>
        <v>0.91</v>
      </c>
      <c r="H367" s="96" t="s">
        <v>173</v>
      </c>
      <c r="I367" s="162">
        <f>data!G20</f>
        <v>7.2972799999999998</v>
      </c>
      <c r="J367" s="163">
        <f>E59</f>
        <v>10129218.75</v>
      </c>
      <c r="K367" s="246"/>
    </row>
    <row r="368" spans="2:11">
      <c r="B368" s="243"/>
      <c r="C368" s="244"/>
      <c r="D368" s="371" t="s">
        <v>71</v>
      </c>
      <c r="E368" s="41"/>
      <c r="F368" s="41"/>
      <c r="G368" s="41"/>
      <c r="H368" s="41"/>
      <c r="I368" s="19" t="s">
        <v>37</v>
      </c>
      <c r="J368" s="372" t="s">
        <v>40</v>
      </c>
      <c r="K368" s="246"/>
    </row>
    <row r="369" spans="2:12">
      <c r="B369" s="243"/>
      <c r="C369" s="244"/>
      <c r="D369" s="164">
        <f>F9</f>
        <v>3.64</v>
      </c>
      <c r="E369" s="1197" t="s">
        <v>105</v>
      </c>
      <c r="F369" s="1197"/>
      <c r="G369" s="125">
        <f>((D367)*(E367)*((F9)*(F9)-(G367)*(G367))^(3/2))/(9*3^(0.5)*(I367)*1000*(J367)*(D369))*1000000000*2</f>
        <v>44.504784689726662</v>
      </c>
      <c r="H369" s="81" t="s">
        <v>104</v>
      </c>
      <c r="I369" s="41"/>
      <c r="J369" s="19"/>
      <c r="K369" s="246"/>
    </row>
    <row r="370" spans="2:12">
      <c r="B370" s="243"/>
      <c r="C370" s="244"/>
      <c r="D370" s="372" t="s">
        <v>92</v>
      </c>
      <c r="E370" s="245"/>
      <c r="F370" s="252" t="s">
        <v>66</v>
      </c>
      <c r="G370" s="245"/>
      <c r="H370" s="245"/>
      <c r="I370" s="245"/>
      <c r="J370" s="248"/>
      <c r="K370" s="246"/>
    </row>
    <row r="371" spans="2:12">
      <c r="B371" s="243"/>
      <c r="C371" s="1007" t="s">
        <v>636</v>
      </c>
      <c r="D371" s="196">
        <f>E50</f>
        <v>2342.6949</v>
      </c>
      <c r="E371" s="286">
        <f>D47</f>
        <v>0.91</v>
      </c>
      <c r="F371" s="41" t="s">
        <v>164</v>
      </c>
      <c r="G371" s="161">
        <f>(E371)</f>
        <v>0.91</v>
      </c>
      <c r="H371" s="96" t="s">
        <v>173</v>
      </c>
      <c r="I371" s="162">
        <f>data!G20</f>
        <v>7.2972799999999998</v>
      </c>
      <c r="J371" s="163">
        <f>E59</f>
        <v>10129218.75</v>
      </c>
      <c r="K371" s="246"/>
    </row>
    <row r="372" spans="2:12">
      <c r="B372" s="243"/>
      <c r="C372" s="244"/>
      <c r="D372" s="370" t="s">
        <v>71</v>
      </c>
      <c r="E372" s="252"/>
      <c r="F372" s="245"/>
      <c r="G372" s="245"/>
      <c r="H372" s="245"/>
      <c r="I372" s="19" t="s">
        <v>37</v>
      </c>
      <c r="J372" s="251" t="s">
        <v>40</v>
      </c>
      <c r="K372" s="246"/>
    </row>
    <row r="373" spans="2:12">
      <c r="B373" s="243"/>
      <c r="C373" s="244"/>
      <c r="D373" s="290">
        <f>F9</f>
        <v>3.64</v>
      </c>
      <c r="E373" s="1278" t="s">
        <v>105</v>
      </c>
      <c r="F373" s="1211"/>
      <c r="G373" s="125">
        <f>((D371)*(E371)*((F9)^2-(G371)^2)^(3/2)/(9*3^(1/2)*(I371)*1000*(J371)*(D373))*1000000000*2)</f>
        <v>44.504784689726662</v>
      </c>
      <c r="H373" s="84" t="s">
        <v>104</v>
      </c>
      <c r="I373" s="245"/>
      <c r="J373" s="248"/>
      <c r="K373" s="246"/>
    </row>
    <row r="374" spans="2:12">
      <c r="B374" s="243"/>
      <c r="C374" s="244"/>
      <c r="D374" s="372" t="s">
        <v>92</v>
      </c>
      <c r="E374" s="245"/>
      <c r="F374" s="252" t="s">
        <v>66</v>
      </c>
      <c r="G374" s="245"/>
      <c r="H374" s="252"/>
      <c r="I374" s="245"/>
      <c r="J374" s="248"/>
      <c r="K374" s="246"/>
    </row>
    <row r="375" spans="2:12">
      <c r="B375" s="243"/>
      <c r="C375" s="573" t="s">
        <v>165</v>
      </c>
      <c r="D375" s="218">
        <f>(J297)+(G369)+(G373)</f>
        <v>195.68279932611637</v>
      </c>
      <c r="E375" s="84" t="s">
        <v>104</v>
      </c>
      <c r="F375" s="851" t="s">
        <v>228</v>
      </c>
      <c r="G375" s="245"/>
      <c r="H375" s="245"/>
      <c r="I375" s="245"/>
      <c r="J375" s="245"/>
      <c r="K375" s="246"/>
    </row>
    <row r="376" spans="2:12">
      <c r="B376" s="243"/>
      <c r="C376" s="37"/>
      <c r="D376" s="245"/>
      <c r="E376" s="252"/>
      <c r="F376" s="245"/>
      <c r="G376" s="245"/>
      <c r="H376" s="245"/>
      <c r="I376" s="245"/>
      <c r="J376" s="245"/>
      <c r="K376" s="246"/>
    </row>
    <row r="377" spans="2:12" ht="14.25" thickBot="1">
      <c r="B377" s="243"/>
      <c r="C377" s="1013" t="s">
        <v>94</v>
      </c>
      <c r="D377" s="97" t="s">
        <v>68</v>
      </c>
      <c r="E377" s="125">
        <f>1000*(F9)/150</f>
        <v>24.266666666666666</v>
      </c>
      <c r="F377" s="92" t="s">
        <v>248</v>
      </c>
      <c r="G377" s="52" t="s">
        <v>296</v>
      </c>
      <c r="H377" s="245"/>
      <c r="I377" s="245"/>
      <c r="J377" s="25" t="s">
        <v>446</v>
      </c>
      <c r="K377" s="619" t="str">
        <f>IF(D375&lt;=E377,"◯","×")</f>
        <v>×</v>
      </c>
      <c r="L377" s="175" t="s">
        <v>322</v>
      </c>
    </row>
    <row r="378" spans="2:12" ht="15" thickTop="1" thickBot="1">
      <c r="B378" s="243"/>
      <c r="C378" s="96"/>
      <c r="D378" s="97" t="s">
        <v>68</v>
      </c>
      <c r="E378" s="125">
        <f>1000*(F9)/100</f>
        <v>36.4</v>
      </c>
      <c r="F378" s="92" t="s">
        <v>249</v>
      </c>
      <c r="G378" s="52" t="s">
        <v>298</v>
      </c>
      <c r="H378" s="245"/>
      <c r="I378" s="245"/>
      <c r="J378" s="638" t="s">
        <v>447</v>
      </c>
      <c r="K378" s="619" t="str">
        <f>IF(D375&lt;=E378,"◯","×")</f>
        <v>×</v>
      </c>
      <c r="L378" s="619" t="str">
        <f>IF(K377="◯",IF(K378="◯","◯","×"),"×")</f>
        <v>×</v>
      </c>
    </row>
    <row r="379" spans="2:12" ht="14.25" thickTop="1">
      <c r="B379" s="243"/>
      <c r="C379" s="244"/>
      <c r="D379" s="245"/>
      <c r="E379" s="245"/>
      <c r="F379" s="245"/>
      <c r="G379" s="245"/>
      <c r="H379" s="245"/>
      <c r="I379" s="245"/>
      <c r="J379" s="245"/>
      <c r="K379" s="256"/>
    </row>
    <row r="380" spans="2:12">
      <c r="B380" s="243"/>
      <c r="C380" s="270"/>
      <c r="D380" s="257"/>
      <c r="E380" s="257"/>
      <c r="F380" s="257"/>
      <c r="G380" s="257"/>
      <c r="H380" s="257"/>
      <c r="I380" s="257"/>
      <c r="J380" s="257"/>
      <c r="K380" s="258"/>
    </row>
    <row r="381" spans="2:12">
      <c r="B381" s="243"/>
      <c r="C381" s="1007" t="s">
        <v>637</v>
      </c>
      <c r="D381" s="196">
        <f>F49</f>
        <v>3025.8774000000003</v>
      </c>
      <c r="E381" s="286">
        <f>D47</f>
        <v>0.91</v>
      </c>
      <c r="F381" s="41" t="s">
        <v>164</v>
      </c>
      <c r="G381" s="161">
        <f>(E381)</f>
        <v>0.91</v>
      </c>
      <c r="H381" s="96" t="s">
        <v>173</v>
      </c>
      <c r="I381" s="162">
        <f>data!G20</f>
        <v>7.2972799999999998</v>
      </c>
      <c r="J381" s="163">
        <f>E59</f>
        <v>10129218.75</v>
      </c>
      <c r="K381" s="246"/>
    </row>
    <row r="382" spans="2:12">
      <c r="B382" s="243"/>
      <c r="C382" s="244"/>
      <c r="D382" s="371" t="s">
        <v>71</v>
      </c>
      <c r="E382" s="41"/>
      <c r="F382" s="41"/>
      <c r="G382" s="41"/>
      <c r="H382" s="41"/>
      <c r="I382" s="19" t="s">
        <v>37</v>
      </c>
      <c r="J382" s="372" t="s">
        <v>40</v>
      </c>
      <c r="K382" s="246"/>
    </row>
    <row r="383" spans="2:12">
      <c r="B383" s="243"/>
      <c r="C383" s="244"/>
      <c r="D383" s="164">
        <f>F9</f>
        <v>3.64</v>
      </c>
      <c r="E383" s="1197" t="s">
        <v>105</v>
      </c>
      <c r="F383" s="1197"/>
      <c r="G383" s="125">
        <f>((D381)*(E381)*((F9)*(F9)-(G381)*(G381))^(3/2))/(9*3^(0.5)*(I381)*1000*(J381)*(D383))*1000000000*2</f>
        <v>57.483380436995844</v>
      </c>
      <c r="H383" s="81" t="s">
        <v>104</v>
      </c>
      <c r="I383" s="41"/>
      <c r="J383" s="19"/>
      <c r="K383" s="246"/>
    </row>
    <row r="384" spans="2:12">
      <c r="B384" s="243"/>
      <c r="C384" s="244"/>
      <c r="D384" s="372" t="s">
        <v>92</v>
      </c>
      <c r="E384" s="245"/>
      <c r="F384" s="252" t="s">
        <v>66</v>
      </c>
      <c r="G384" s="245"/>
      <c r="H384" s="245"/>
      <c r="I384" s="245"/>
      <c r="J384" s="248"/>
      <c r="K384" s="246"/>
    </row>
    <row r="385" spans="2:12">
      <c r="B385" s="243"/>
      <c r="C385" s="1007" t="s">
        <v>638</v>
      </c>
      <c r="D385" s="196">
        <f>F50</f>
        <v>3025.8774000000003</v>
      </c>
      <c r="E385" s="286">
        <f>D47</f>
        <v>0.91</v>
      </c>
      <c r="F385" s="41" t="s">
        <v>164</v>
      </c>
      <c r="G385" s="161">
        <f>(E385)</f>
        <v>0.91</v>
      </c>
      <c r="H385" s="96" t="s">
        <v>173</v>
      </c>
      <c r="I385" s="299">
        <f>data!G20</f>
        <v>7.2972799999999998</v>
      </c>
      <c r="J385" s="163">
        <f>E59</f>
        <v>10129218.75</v>
      </c>
      <c r="K385" s="246"/>
    </row>
    <row r="386" spans="2:12">
      <c r="B386" s="243"/>
      <c r="C386" s="244"/>
      <c r="D386" s="371" t="s">
        <v>71</v>
      </c>
      <c r="E386" s="81"/>
      <c r="F386" s="41"/>
      <c r="G386" s="41"/>
      <c r="H386" s="41"/>
      <c r="I386" s="19" t="s">
        <v>37</v>
      </c>
      <c r="J386" s="372" t="s">
        <v>40</v>
      </c>
      <c r="K386" s="246"/>
    </row>
    <row r="387" spans="2:12">
      <c r="B387" s="243"/>
      <c r="C387" s="244"/>
      <c r="D387" s="165">
        <f>F9</f>
        <v>3.64</v>
      </c>
      <c r="E387" s="1197" t="s">
        <v>105</v>
      </c>
      <c r="F387" s="1197"/>
      <c r="G387" s="393">
        <f>((D385)*(E385)*((F9)^2-(G385)^2)^(3/2)/(9*3^(1/2)*(I385)*1000*(J385)*(D387))*1000000000*2)</f>
        <v>57.483380436995844</v>
      </c>
      <c r="H387" s="81" t="s">
        <v>104</v>
      </c>
      <c r="I387" s="41"/>
      <c r="J387" s="19"/>
      <c r="K387" s="246"/>
    </row>
    <row r="388" spans="2:12">
      <c r="B388" s="243"/>
      <c r="C388" s="244"/>
      <c r="D388" s="372" t="s">
        <v>92</v>
      </c>
      <c r="E388" s="245"/>
      <c r="F388" s="252" t="s">
        <v>66</v>
      </c>
      <c r="G388" s="245"/>
      <c r="H388" s="245"/>
      <c r="I388" s="245"/>
      <c r="J388" s="248"/>
      <c r="K388" s="246"/>
    </row>
    <row r="389" spans="2:12">
      <c r="B389" s="243"/>
      <c r="C389" s="573" t="s">
        <v>165</v>
      </c>
      <c r="D389" s="218">
        <f>(J299)+(G383)+(G387)</f>
        <v>238.64864860432277</v>
      </c>
      <c r="E389" s="84" t="s">
        <v>104</v>
      </c>
      <c r="F389" s="851" t="s">
        <v>229</v>
      </c>
      <c r="G389" s="245"/>
      <c r="H389" s="245"/>
      <c r="I389" s="245"/>
      <c r="J389" s="245"/>
      <c r="K389" s="246"/>
    </row>
    <row r="390" spans="2:12">
      <c r="B390" s="243"/>
      <c r="C390" s="37"/>
      <c r="D390" s="245"/>
      <c r="E390" s="252"/>
      <c r="F390" s="245"/>
      <c r="G390" s="245"/>
      <c r="H390" s="245"/>
      <c r="I390" s="245"/>
      <c r="J390" s="245"/>
      <c r="K390" s="246"/>
    </row>
    <row r="391" spans="2:12" ht="14.25" thickBot="1">
      <c r="B391" s="243"/>
      <c r="C391" s="1013" t="s">
        <v>94</v>
      </c>
      <c r="D391" s="97" t="s">
        <v>68</v>
      </c>
      <c r="E391" s="125">
        <f>1000*(F9)/150</f>
        <v>24.266666666666666</v>
      </c>
      <c r="F391" s="92" t="s">
        <v>248</v>
      </c>
      <c r="G391" s="52" t="s">
        <v>296</v>
      </c>
      <c r="H391" s="245"/>
      <c r="I391" s="245"/>
      <c r="J391" s="25" t="s">
        <v>446</v>
      </c>
      <c r="K391" s="619" t="str">
        <f>IF(D389&lt;=E391,"◯","×")</f>
        <v>×</v>
      </c>
      <c r="L391" s="175" t="s">
        <v>322</v>
      </c>
    </row>
    <row r="392" spans="2:12" ht="15" thickTop="1" thickBot="1">
      <c r="B392" s="243"/>
      <c r="C392" s="96"/>
      <c r="D392" s="97" t="s">
        <v>68</v>
      </c>
      <c r="E392" s="125">
        <f>1000*(F9)/100</f>
        <v>36.4</v>
      </c>
      <c r="F392" s="92" t="s">
        <v>249</v>
      </c>
      <c r="G392" s="52" t="s">
        <v>298</v>
      </c>
      <c r="H392" s="245"/>
      <c r="I392" s="245"/>
      <c r="J392" s="638" t="s">
        <v>447</v>
      </c>
      <c r="K392" s="619" t="str">
        <f>IF(D389&lt;=E392,"◯","×")</f>
        <v>×</v>
      </c>
      <c r="L392" s="619" t="str">
        <f>IF(K391="◯",IF(K392="◯","◯","×"),"×")</f>
        <v>×</v>
      </c>
    </row>
    <row r="393" spans="2:12" ht="15" thickTop="1" thickBot="1">
      <c r="B393" s="359"/>
      <c r="C393" s="360"/>
      <c r="D393" s="361"/>
      <c r="E393" s="361"/>
      <c r="F393" s="361"/>
      <c r="G393" s="361"/>
      <c r="H393" s="361"/>
      <c r="I393" s="361"/>
      <c r="J393" s="361"/>
      <c r="K393" s="385"/>
    </row>
    <row r="394" spans="2:12">
      <c r="B394" s="386" t="s">
        <v>270</v>
      </c>
      <c r="C394" s="252"/>
      <c r="D394" s="248"/>
      <c r="E394" s="248"/>
      <c r="F394" s="248"/>
      <c r="G394" s="248"/>
      <c r="H394" s="248"/>
      <c r="I394" s="248"/>
      <c r="J394" s="248"/>
      <c r="K394" s="246"/>
    </row>
    <row r="395" spans="2:12">
      <c r="B395" s="68" t="s">
        <v>143</v>
      </c>
      <c r="C395" s="1007" t="s">
        <v>605</v>
      </c>
      <c r="D395" s="196">
        <f>D55</f>
        <v>745.29</v>
      </c>
      <c r="E395" s="286">
        <f>D53</f>
        <v>1.82</v>
      </c>
      <c r="F395" s="41" t="s">
        <v>164</v>
      </c>
      <c r="G395" s="161">
        <f>(E395)</f>
        <v>1.82</v>
      </c>
      <c r="H395" s="96" t="s">
        <v>173</v>
      </c>
      <c r="I395" s="162">
        <f>data!G20</f>
        <v>7.2972799999999998</v>
      </c>
      <c r="J395" s="163">
        <f>E59</f>
        <v>10129218.75</v>
      </c>
      <c r="K395" s="246"/>
    </row>
    <row r="396" spans="2:12">
      <c r="B396" s="68"/>
      <c r="C396" s="244"/>
      <c r="D396" s="371" t="s">
        <v>71</v>
      </c>
      <c r="E396" s="41"/>
      <c r="F396" s="41"/>
      <c r="G396" s="41"/>
      <c r="H396" s="41"/>
      <c r="I396" s="19" t="s">
        <v>37</v>
      </c>
      <c r="J396" s="372" t="s">
        <v>40</v>
      </c>
      <c r="K396" s="246"/>
    </row>
    <row r="397" spans="2:12">
      <c r="B397" s="243"/>
      <c r="C397" s="244"/>
      <c r="D397" s="164">
        <f>F9</f>
        <v>3.64</v>
      </c>
      <c r="E397" s="1197" t="s">
        <v>105</v>
      </c>
      <c r="F397" s="1197"/>
      <c r="G397" s="125">
        <f>(($D$395)*($E$395)*(($F$9)*($F$9)-($G$395)*($G$395))^(3/2))/(9*3^(0.5)*($I$395)*1000*(J395)*($D$397))*1000000000*2</f>
        <v>20.261950145198696</v>
      </c>
      <c r="H397" s="81" t="s">
        <v>104</v>
      </c>
      <c r="I397" s="41"/>
      <c r="J397" s="19"/>
      <c r="K397" s="246"/>
    </row>
    <row r="398" spans="2:12">
      <c r="B398" s="243"/>
      <c r="C398" s="244"/>
      <c r="D398" s="372" t="s">
        <v>92</v>
      </c>
      <c r="E398" s="245"/>
      <c r="F398" s="252" t="s">
        <v>66</v>
      </c>
      <c r="G398" s="245"/>
      <c r="H398" s="245"/>
      <c r="I398" s="245"/>
      <c r="J398" s="248"/>
      <c r="K398" s="246"/>
    </row>
    <row r="399" spans="2:12">
      <c r="B399" s="243"/>
      <c r="C399" s="573" t="s">
        <v>165</v>
      </c>
      <c r="D399" s="218">
        <f>(J295)+(G397)</f>
        <v>87.165845710412512</v>
      </c>
      <c r="E399" s="84" t="s">
        <v>104</v>
      </c>
      <c r="F399" s="472" t="s">
        <v>267</v>
      </c>
      <c r="G399" s="245"/>
      <c r="H399" s="245"/>
      <c r="I399" s="245"/>
      <c r="J399" s="245"/>
      <c r="K399" s="246"/>
    </row>
    <row r="400" spans="2:12">
      <c r="B400" s="243"/>
      <c r="C400" s="37"/>
      <c r="D400" s="245"/>
      <c r="E400" s="252"/>
      <c r="F400" s="245"/>
      <c r="G400" s="245"/>
      <c r="H400" s="245"/>
      <c r="I400" s="245"/>
      <c r="J400" s="245"/>
      <c r="K400" s="246"/>
    </row>
    <row r="401" spans="2:12" ht="14.25" thickBot="1">
      <c r="B401" s="243"/>
      <c r="C401" s="1013" t="s">
        <v>94</v>
      </c>
      <c r="D401" s="97" t="s">
        <v>68</v>
      </c>
      <c r="E401" s="125">
        <f>1000*(F9)/150</f>
        <v>24.266666666666666</v>
      </c>
      <c r="F401" s="114" t="s">
        <v>248</v>
      </c>
      <c r="G401" s="52" t="s">
        <v>296</v>
      </c>
      <c r="H401" s="245"/>
      <c r="I401" s="245"/>
      <c r="J401" s="175" t="s">
        <v>322</v>
      </c>
      <c r="K401" s="619" t="str">
        <f>IF(D399&lt;=E401,"◯","×")</f>
        <v>×</v>
      </c>
    </row>
    <row r="402" spans="2:12">
      <c r="B402" s="243"/>
      <c r="C402" s="269"/>
      <c r="D402" s="257"/>
      <c r="E402" s="257"/>
      <c r="F402" s="257"/>
      <c r="G402" s="257"/>
      <c r="H402" s="257"/>
      <c r="I402" s="257"/>
      <c r="J402" s="257"/>
      <c r="K402" s="258"/>
    </row>
    <row r="403" spans="2:12">
      <c r="B403" s="243"/>
      <c r="C403" s="1007" t="s">
        <v>639</v>
      </c>
      <c r="D403" s="196">
        <f>E55</f>
        <v>2342.6949</v>
      </c>
      <c r="E403" s="286">
        <f>D53</f>
        <v>1.82</v>
      </c>
      <c r="F403" s="41" t="s">
        <v>164</v>
      </c>
      <c r="G403" s="161">
        <f>(E403)</f>
        <v>1.82</v>
      </c>
      <c r="H403" s="96" t="s">
        <v>173</v>
      </c>
      <c r="I403" s="162">
        <f>data!G20</f>
        <v>7.2972799999999998</v>
      </c>
      <c r="J403" s="163">
        <f>E59</f>
        <v>10129218.75</v>
      </c>
      <c r="K403" s="246"/>
    </row>
    <row r="404" spans="2:12">
      <c r="B404" s="243"/>
      <c r="C404" s="244"/>
      <c r="D404" s="371" t="s">
        <v>71</v>
      </c>
      <c r="E404" s="41"/>
      <c r="F404" s="41"/>
      <c r="G404" s="41"/>
      <c r="H404" s="41"/>
      <c r="I404" s="19" t="s">
        <v>37</v>
      </c>
      <c r="J404" s="372" t="s">
        <v>40</v>
      </c>
      <c r="K404" s="246"/>
    </row>
    <row r="405" spans="2:12">
      <c r="B405" s="243"/>
      <c r="C405" s="244"/>
      <c r="D405" s="164">
        <f>F9</f>
        <v>3.64</v>
      </c>
      <c r="E405" s="1197" t="s">
        <v>105</v>
      </c>
      <c r="F405" s="1197"/>
      <c r="G405" s="125">
        <f>(($D$403)*($E$403)*(($F$9)*($F$9)-($G$403)*($G$403))^(3/2))/(9*3^(0.5)*($I$403)*1000*(J403)*($D$405))*1000000000*2</f>
        <v>63.690063289741254</v>
      </c>
      <c r="H405" s="81" t="s">
        <v>104</v>
      </c>
      <c r="I405" s="41"/>
      <c r="J405" s="19"/>
      <c r="K405" s="246"/>
    </row>
    <row r="406" spans="2:12">
      <c r="B406" s="243"/>
      <c r="C406" s="244"/>
      <c r="D406" s="372" t="s">
        <v>92</v>
      </c>
      <c r="E406" s="245"/>
      <c r="F406" s="252" t="s">
        <v>66</v>
      </c>
      <c r="G406" s="245"/>
      <c r="H406" s="245"/>
      <c r="I406" s="245"/>
      <c r="J406" s="248"/>
      <c r="K406" s="246"/>
    </row>
    <row r="407" spans="2:12">
      <c r="B407" s="243"/>
      <c r="C407" s="573" t="s">
        <v>165</v>
      </c>
      <c r="D407" s="218">
        <f>(J297)+(G405)</f>
        <v>170.3632932364043</v>
      </c>
      <c r="E407" s="84" t="s">
        <v>104</v>
      </c>
      <c r="F407" s="851" t="s">
        <v>228</v>
      </c>
      <c r="G407" s="245"/>
      <c r="H407" s="245"/>
      <c r="I407" s="245"/>
      <c r="J407" s="245"/>
      <c r="K407" s="246"/>
    </row>
    <row r="408" spans="2:12">
      <c r="B408" s="243"/>
      <c r="C408" s="37"/>
      <c r="D408" s="245"/>
      <c r="E408" s="252"/>
      <c r="F408" s="245"/>
      <c r="G408" s="245"/>
      <c r="H408" s="245"/>
      <c r="I408" s="245"/>
      <c r="J408" s="245"/>
      <c r="K408" s="246"/>
    </row>
    <row r="409" spans="2:12" ht="14.25" thickBot="1">
      <c r="B409" s="243"/>
      <c r="C409" s="1013" t="s">
        <v>94</v>
      </c>
      <c r="D409" s="97" t="s">
        <v>68</v>
      </c>
      <c r="E409" s="125">
        <f>1000*(F9)/150</f>
        <v>24.266666666666666</v>
      </c>
      <c r="F409" s="92" t="s">
        <v>248</v>
      </c>
      <c r="G409" s="52" t="s">
        <v>296</v>
      </c>
      <c r="H409" s="245"/>
      <c r="I409" s="245"/>
      <c r="J409" s="25" t="s">
        <v>446</v>
      </c>
      <c r="K409" s="619" t="str">
        <f>IF(D407&lt;=E409,"◯","×")</f>
        <v>×</v>
      </c>
      <c r="L409" s="175" t="s">
        <v>322</v>
      </c>
    </row>
    <row r="410" spans="2:12" ht="15" thickTop="1" thickBot="1">
      <c r="B410" s="243"/>
      <c r="C410" s="96"/>
      <c r="D410" s="97" t="s">
        <v>68</v>
      </c>
      <c r="E410" s="125">
        <f>1000*(F9)/100</f>
        <v>36.4</v>
      </c>
      <c r="F410" s="92" t="s">
        <v>249</v>
      </c>
      <c r="G410" s="52" t="s">
        <v>298</v>
      </c>
      <c r="H410" s="245"/>
      <c r="I410" s="245"/>
      <c r="J410" s="638" t="s">
        <v>447</v>
      </c>
      <c r="K410" s="619" t="str">
        <f>IF(D407&lt;=E410,"◯","×")</f>
        <v>×</v>
      </c>
      <c r="L410" s="619" t="str">
        <f>IF(K409="◯",IF(K410="◯","◯","×"),"×")</f>
        <v>×</v>
      </c>
    </row>
    <row r="411" spans="2:12" ht="14.25" thickTop="1">
      <c r="B411" s="243"/>
      <c r="C411" s="269"/>
      <c r="D411" s="257"/>
      <c r="E411" s="257"/>
      <c r="F411" s="257"/>
      <c r="G411" s="257"/>
      <c r="H411" s="257"/>
      <c r="I411" s="257"/>
      <c r="J411" s="257"/>
      <c r="K411" s="258"/>
    </row>
    <row r="412" spans="2:12">
      <c r="B412" s="243"/>
      <c r="C412" s="1007" t="s">
        <v>640</v>
      </c>
      <c r="D412" s="196">
        <f>F55</f>
        <v>3025.8774000000003</v>
      </c>
      <c r="E412" s="286">
        <f>D53</f>
        <v>1.82</v>
      </c>
      <c r="F412" s="41" t="s">
        <v>164</v>
      </c>
      <c r="G412" s="161">
        <f>(E412)</f>
        <v>1.82</v>
      </c>
      <c r="H412" s="96" t="s">
        <v>173</v>
      </c>
      <c r="I412" s="162">
        <f>data!G20</f>
        <v>7.2972799999999998</v>
      </c>
      <c r="J412" s="163">
        <f>E59</f>
        <v>10129218.75</v>
      </c>
      <c r="K412" s="246"/>
    </row>
    <row r="413" spans="2:12">
      <c r="B413" s="243"/>
      <c r="C413" s="244"/>
      <c r="D413" s="371" t="s">
        <v>71</v>
      </c>
      <c r="E413" s="41"/>
      <c r="F413" s="41"/>
      <c r="G413" s="41"/>
      <c r="H413" s="41"/>
      <c r="I413" s="19" t="s">
        <v>37</v>
      </c>
      <c r="J413" s="372" t="s">
        <v>40</v>
      </c>
      <c r="K413" s="246"/>
    </row>
    <row r="414" spans="2:12">
      <c r="B414" s="243"/>
      <c r="C414" s="252"/>
      <c r="D414" s="287">
        <f>F9</f>
        <v>3.64</v>
      </c>
      <c r="E414" s="1167" t="s">
        <v>105</v>
      </c>
      <c r="F414" s="1167"/>
      <c r="G414" s="159">
        <f>((D412)*(E412)*((F9)*(F9)-(G412)*(G412))^(3/2))/(9*3^(0.5)*(I412)*1000*(J412)*(D414))*1000000000*2</f>
        <v>82.263517589506719</v>
      </c>
      <c r="H414" s="81" t="s">
        <v>104</v>
      </c>
      <c r="I414" s="19"/>
      <c r="J414" s="19"/>
      <c r="K414" s="246"/>
    </row>
    <row r="415" spans="2:12">
      <c r="B415" s="243"/>
      <c r="C415" s="252"/>
      <c r="D415" s="372" t="s">
        <v>92</v>
      </c>
      <c r="E415" s="248"/>
      <c r="F415" s="252" t="s">
        <v>66</v>
      </c>
      <c r="G415" s="248"/>
      <c r="H415" s="248"/>
      <c r="I415" s="248"/>
      <c r="J415" s="248"/>
      <c r="K415" s="246"/>
    </row>
    <row r="416" spans="2:12">
      <c r="B416" s="243"/>
      <c r="C416" s="585" t="s">
        <v>165</v>
      </c>
      <c r="D416" s="288">
        <f>(J299)+(G414)</f>
        <v>205.94540531983779</v>
      </c>
      <c r="E416" s="84" t="s">
        <v>104</v>
      </c>
      <c r="F416" s="851" t="s">
        <v>229</v>
      </c>
      <c r="G416" s="248"/>
      <c r="H416" s="248"/>
      <c r="I416" s="248"/>
      <c r="J416" s="248"/>
      <c r="K416" s="246"/>
    </row>
    <row r="417" spans="2:12">
      <c r="B417" s="243"/>
      <c r="C417" s="66"/>
      <c r="D417" s="248"/>
      <c r="E417" s="252"/>
      <c r="F417" s="248"/>
      <c r="G417" s="248"/>
      <c r="H417" s="248"/>
      <c r="I417" s="248"/>
      <c r="J417" s="248"/>
      <c r="K417" s="246"/>
    </row>
    <row r="418" spans="2:12" ht="14.25" thickBot="1">
      <c r="B418" s="243"/>
      <c r="C418" s="1011" t="s">
        <v>94</v>
      </c>
      <c r="D418" s="93" t="s">
        <v>68</v>
      </c>
      <c r="E418" s="159">
        <f>1000*(F9)/150</f>
        <v>24.266666666666666</v>
      </c>
      <c r="F418" s="19" t="s">
        <v>248</v>
      </c>
      <c r="G418" s="67" t="s">
        <v>296</v>
      </c>
      <c r="H418" s="248"/>
      <c r="I418" s="248"/>
      <c r="J418" s="25" t="s">
        <v>446</v>
      </c>
      <c r="K418" s="619" t="str">
        <f>IF(D416&lt;=E418,"◯","×")</f>
        <v>×</v>
      </c>
      <c r="L418" s="175" t="s">
        <v>322</v>
      </c>
    </row>
    <row r="419" spans="2:12" ht="15" thickTop="1" thickBot="1">
      <c r="B419" s="243"/>
      <c r="C419" s="81"/>
      <c r="D419" s="93" t="s">
        <v>68</v>
      </c>
      <c r="E419" s="159">
        <f>1000*(F9)/100</f>
        <v>36.4</v>
      </c>
      <c r="F419" s="19" t="s">
        <v>249</v>
      </c>
      <c r="G419" s="67" t="s">
        <v>298</v>
      </c>
      <c r="H419" s="248"/>
      <c r="I419" s="248"/>
      <c r="J419" s="638" t="s">
        <v>447</v>
      </c>
      <c r="K419" s="619" t="str">
        <f>IF(D416&lt;=E419,"◯","×")</f>
        <v>×</v>
      </c>
      <c r="L419" s="619" t="str">
        <f>IF(K418="◯",IF(K419="◯","◯","×"),"×")</f>
        <v>×</v>
      </c>
    </row>
    <row r="420" spans="2:12" ht="15" thickTop="1" thickBot="1">
      <c r="B420" s="272"/>
      <c r="C420" s="368"/>
      <c r="D420" s="274"/>
      <c r="E420" s="274"/>
      <c r="F420" s="274"/>
      <c r="G420" s="274"/>
      <c r="H420" s="274"/>
      <c r="I420" s="274"/>
      <c r="J420" s="274"/>
      <c r="K420" s="262"/>
    </row>
    <row r="421" spans="2:12">
      <c r="B421" s="374"/>
      <c r="C421" s="374"/>
    </row>
    <row r="422" spans="2:12">
      <c r="B422" s="374"/>
      <c r="C422" s="374"/>
    </row>
    <row r="423" spans="2:12">
      <c r="B423" s="374"/>
      <c r="C423" s="374"/>
    </row>
    <row r="424" spans="2:12">
      <c r="B424" s="374"/>
      <c r="C424" s="374"/>
    </row>
    <row r="425" spans="2:12">
      <c r="B425" s="374"/>
      <c r="C425" s="374"/>
    </row>
    <row r="426" spans="2:12">
      <c r="B426" s="374"/>
      <c r="C426" s="374"/>
    </row>
    <row r="427" spans="2:12">
      <c r="B427" s="374"/>
      <c r="C427" s="374"/>
    </row>
    <row r="428" spans="2:12">
      <c r="B428" s="374"/>
      <c r="C428" s="374"/>
    </row>
    <row r="429" spans="2:12">
      <c r="B429" s="374"/>
      <c r="C429" s="374"/>
    </row>
    <row r="430" spans="2:12">
      <c r="B430" s="374"/>
      <c r="C430" s="374"/>
    </row>
    <row r="431" spans="2:12">
      <c r="B431" s="374"/>
      <c r="C431" s="374"/>
    </row>
    <row r="432" spans="2:12">
      <c r="B432" s="374"/>
      <c r="C432" s="374"/>
    </row>
    <row r="433" spans="2:3">
      <c r="B433" s="374"/>
      <c r="C433" s="374"/>
    </row>
    <row r="434" spans="2:3">
      <c r="B434" s="374"/>
      <c r="C434" s="374"/>
    </row>
    <row r="435" spans="2:3">
      <c r="B435" s="374"/>
      <c r="C435" s="374"/>
    </row>
    <row r="436" spans="2:3">
      <c r="B436" s="374"/>
      <c r="C436" s="374"/>
    </row>
    <row r="437" spans="2:3">
      <c r="B437" s="374"/>
      <c r="C437" s="374"/>
    </row>
    <row r="438" spans="2:3">
      <c r="B438" s="374"/>
      <c r="C438" s="374"/>
    </row>
    <row r="439" spans="2:3">
      <c r="B439" s="374"/>
      <c r="C439" s="374"/>
    </row>
    <row r="440" spans="2:3">
      <c r="B440" s="374"/>
      <c r="C440" s="374"/>
    </row>
    <row r="441" spans="2:3">
      <c r="B441" s="374"/>
      <c r="C441" s="374"/>
    </row>
    <row r="442" spans="2:3">
      <c r="B442" s="374"/>
      <c r="C442" s="374"/>
    </row>
    <row r="443" spans="2:3">
      <c r="B443" s="374"/>
      <c r="C443" s="374"/>
    </row>
    <row r="444" spans="2:3">
      <c r="B444" s="374"/>
      <c r="C444" s="374"/>
    </row>
    <row r="445" spans="2:3">
      <c r="B445" s="374"/>
      <c r="C445" s="374"/>
    </row>
    <row r="446" spans="2:3">
      <c r="B446" s="374"/>
      <c r="C446" s="374"/>
    </row>
    <row r="447" spans="2:3">
      <c r="B447" s="374"/>
      <c r="C447" s="374"/>
    </row>
    <row r="448" spans="2:3">
      <c r="B448" s="324"/>
      <c r="C448" s="324"/>
    </row>
    <row r="449" spans="2:3">
      <c r="B449" s="324"/>
      <c r="C449" s="324"/>
    </row>
    <row r="450" spans="2:3">
      <c r="B450" s="324"/>
      <c r="C450" s="324"/>
    </row>
    <row r="451" spans="2:3">
      <c r="B451" s="324"/>
      <c r="C451" s="324"/>
    </row>
    <row r="452" spans="2:3">
      <c r="B452" s="324"/>
      <c r="C452" s="324"/>
    </row>
    <row r="453" spans="2:3">
      <c r="B453" s="324"/>
      <c r="C453" s="324"/>
    </row>
    <row r="454" spans="2:3">
      <c r="B454" s="324"/>
      <c r="C454" s="324"/>
    </row>
    <row r="455" spans="2:3">
      <c r="B455" s="324"/>
      <c r="C455" s="324"/>
    </row>
    <row r="456" spans="2:3">
      <c r="B456" s="324"/>
      <c r="C456" s="324"/>
    </row>
    <row r="457" spans="2:3">
      <c r="B457" s="324"/>
      <c r="C457" s="324"/>
    </row>
    <row r="458" spans="2:3">
      <c r="B458" s="324"/>
      <c r="C458" s="324"/>
    </row>
    <row r="459" spans="2:3">
      <c r="B459" s="324"/>
      <c r="C459" s="324"/>
    </row>
    <row r="460" spans="2:3">
      <c r="B460" s="324"/>
      <c r="C460" s="324"/>
    </row>
    <row r="461" spans="2:3">
      <c r="B461" s="324"/>
      <c r="C461" s="324"/>
    </row>
    <row r="462" spans="2:3">
      <c r="B462" s="324"/>
      <c r="C462" s="324"/>
    </row>
    <row r="463" spans="2:3">
      <c r="B463" s="324"/>
      <c r="C463" s="324"/>
    </row>
    <row r="464" spans="2:3">
      <c r="B464" s="324"/>
      <c r="C464" s="324"/>
    </row>
    <row r="465" spans="2:3">
      <c r="B465" s="324"/>
      <c r="C465" s="324"/>
    </row>
    <row r="466" spans="2:3">
      <c r="B466" s="324"/>
      <c r="C466" s="324"/>
    </row>
    <row r="467" spans="2:3">
      <c r="B467" s="324"/>
      <c r="C467" s="324"/>
    </row>
    <row r="468" spans="2:3">
      <c r="B468" s="324"/>
      <c r="C468" s="324"/>
    </row>
    <row r="469" spans="2:3">
      <c r="B469" s="324"/>
      <c r="C469" s="324"/>
    </row>
    <row r="470" spans="2:3">
      <c r="B470" s="324"/>
      <c r="C470" s="324"/>
    </row>
    <row r="471" spans="2:3">
      <c r="B471" s="324"/>
      <c r="C471" s="324"/>
    </row>
    <row r="472" spans="2:3">
      <c r="B472" s="324"/>
      <c r="C472" s="324"/>
    </row>
    <row r="473" spans="2:3">
      <c r="B473" s="324"/>
      <c r="C473" s="324"/>
    </row>
    <row r="474" spans="2:3">
      <c r="B474" s="324"/>
      <c r="C474" s="324"/>
    </row>
    <row r="475" spans="2:3">
      <c r="B475" s="324"/>
      <c r="C475" s="324"/>
    </row>
    <row r="476" spans="2:3">
      <c r="B476" s="324"/>
      <c r="C476" s="324"/>
    </row>
    <row r="477" spans="2:3">
      <c r="B477" s="324"/>
      <c r="C477" s="324"/>
    </row>
    <row r="478" spans="2:3">
      <c r="B478" s="324"/>
      <c r="C478" s="324"/>
    </row>
    <row r="479" spans="2:3">
      <c r="B479" s="324"/>
      <c r="C479" s="324"/>
    </row>
    <row r="480" spans="2:3">
      <c r="B480" s="324"/>
      <c r="C480" s="324"/>
    </row>
    <row r="481" spans="2:3">
      <c r="B481" s="324"/>
      <c r="C481" s="324"/>
    </row>
    <row r="482" spans="2:3">
      <c r="B482" s="324"/>
      <c r="C482" s="324"/>
    </row>
    <row r="483" spans="2:3">
      <c r="B483" s="324"/>
      <c r="C483" s="324"/>
    </row>
    <row r="484" spans="2:3">
      <c r="B484" s="324"/>
      <c r="C484" s="324"/>
    </row>
    <row r="485" spans="2:3">
      <c r="B485" s="324"/>
      <c r="C485" s="324"/>
    </row>
    <row r="486" spans="2:3">
      <c r="B486" s="324"/>
      <c r="C486" s="324"/>
    </row>
    <row r="487" spans="2:3">
      <c r="B487" s="324"/>
      <c r="C487" s="324"/>
    </row>
    <row r="488" spans="2:3">
      <c r="B488" s="324"/>
      <c r="C488" s="324"/>
    </row>
    <row r="489" spans="2:3">
      <c r="B489" s="324"/>
      <c r="C489" s="324"/>
    </row>
    <row r="490" spans="2:3">
      <c r="B490" s="324"/>
      <c r="C490" s="324"/>
    </row>
    <row r="491" spans="2:3">
      <c r="B491" s="324"/>
      <c r="C491" s="324"/>
    </row>
    <row r="492" spans="2:3">
      <c r="B492" s="324"/>
      <c r="C492" s="324"/>
    </row>
    <row r="493" spans="2:3">
      <c r="B493" s="324"/>
      <c r="C493" s="324"/>
    </row>
    <row r="494" spans="2:3">
      <c r="B494" s="324"/>
      <c r="C494" s="324"/>
    </row>
    <row r="495" spans="2:3">
      <c r="B495" s="324"/>
      <c r="C495" s="324"/>
    </row>
    <row r="496" spans="2:3">
      <c r="B496" s="324"/>
      <c r="C496" s="324"/>
    </row>
    <row r="497" spans="2:3">
      <c r="B497" s="324"/>
      <c r="C497" s="324"/>
    </row>
    <row r="498" spans="2:3">
      <c r="B498" s="324"/>
      <c r="C498" s="324"/>
    </row>
    <row r="499" spans="2:3">
      <c r="B499" s="324"/>
      <c r="C499" s="324"/>
    </row>
    <row r="500" spans="2:3">
      <c r="B500" s="324"/>
      <c r="C500" s="324"/>
    </row>
    <row r="501" spans="2:3">
      <c r="B501" s="324"/>
      <c r="C501" s="324"/>
    </row>
    <row r="502" spans="2:3">
      <c r="B502" s="324"/>
      <c r="C502" s="324"/>
    </row>
    <row r="503" spans="2:3">
      <c r="B503" s="324"/>
      <c r="C503" s="324"/>
    </row>
    <row r="504" spans="2:3">
      <c r="B504" s="324"/>
      <c r="C504" s="324"/>
    </row>
    <row r="505" spans="2:3">
      <c r="B505" s="324"/>
      <c r="C505" s="324"/>
    </row>
    <row r="506" spans="2:3">
      <c r="B506" s="324"/>
      <c r="C506" s="324"/>
    </row>
    <row r="507" spans="2:3">
      <c r="B507" s="324"/>
      <c r="C507" s="324"/>
    </row>
    <row r="508" spans="2:3">
      <c r="B508" s="324"/>
      <c r="C508" s="324"/>
    </row>
    <row r="509" spans="2:3">
      <c r="B509" s="324"/>
      <c r="C509" s="324"/>
    </row>
    <row r="510" spans="2:3">
      <c r="B510" s="324"/>
      <c r="C510" s="324"/>
    </row>
    <row r="511" spans="2:3">
      <c r="B511" s="324"/>
      <c r="C511" s="324"/>
    </row>
    <row r="512" spans="2:3">
      <c r="B512" s="324"/>
      <c r="C512" s="324"/>
    </row>
    <row r="513" spans="2:3">
      <c r="B513" s="324"/>
      <c r="C513" s="324"/>
    </row>
    <row r="514" spans="2:3">
      <c r="B514" s="324"/>
      <c r="C514" s="324"/>
    </row>
    <row r="515" spans="2:3">
      <c r="B515" s="324"/>
      <c r="C515" s="324"/>
    </row>
    <row r="516" spans="2:3">
      <c r="B516" s="324"/>
      <c r="C516" s="324"/>
    </row>
    <row r="517" spans="2:3">
      <c r="B517" s="324"/>
      <c r="C517" s="324"/>
    </row>
    <row r="518" spans="2:3">
      <c r="B518" s="324"/>
      <c r="C518" s="324"/>
    </row>
    <row r="519" spans="2:3">
      <c r="B519" s="324"/>
      <c r="C519" s="324"/>
    </row>
    <row r="520" spans="2:3">
      <c r="B520" s="324"/>
      <c r="C520" s="324"/>
    </row>
    <row r="521" spans="2:3">
      <c r="B521" s="324"/>
      <c r="C521" s="324"/>
    </row>
    <row r="522" spans="2:3">
      <c r="B522" s="324"/>
      <c r="C522" s="324"/>
    </row>
    <row r="523" spans="2:3">
      <c r="B523" s="324"/>
      <c r="C523" s="324"/>
    </row>
    <row r="524" spans="2:3">
      <c r="B524" s="324"/>
      <c r="C524" s="324"/>
    </row>
    <row r="525" spans="2:3">
      <c r="B525" s="324"/>
      <c r="C525" s="324"/>
    </row>
    <row r="526" spans="2:3">
      <c r="B526" s="324"/>
      <c r="C526" s="324"/>
    </row>
    <row r="527" spans="2:3">
      <c r="B527" s="324"/>
      <c r="C527" s="324"/>
    </row>
    <row r="528" spans="2:3">
      <c r="B528" s="324"/>
      <c r="C528" s="324"/>
    </row>
    <row r="529" spans="2:3">
      <c r="B529" s="324"/>
      <c r="C529" s="324"/>
    </row>
    <row r="530" spans="2:3">
      <c r="B530" s="324"/>
      <c r="C530" s="324"/>
    </row>
    <row r="531" spans="2:3">
      <c r="B531" s="324"/>
      <c r="C531" s="324"/>
    </row>
    <row r="532" spans="2:3">
      <c r="B532" s="324"/>
      <c r="C532" s="324"/>
    </row>
    <row r="533" spans="2:3">
      <c r="B533" s="324"/>
      <c r="C533" s="324"/>
    </row>
    <row r="534" spans="2:3">
      <c r="B534" s="324"/>
      <c r="C534" s="324"/>
    </row>
    <row r="535" spans="2:3">
      <c r="B535" s="324"/>
      <c r="C535" s="324"/>
    </row>
    <row r="536" spans="2:3">
      <c r="B536" s="324"/>
      <c r="C536" s="324"/>
    </row>
    <row r="537" spans="2:3">
      <c r="B537" s="324"/>
      <c r="C537" s="324"/>
    </row>
    <row r="538" spans="2:3">
      <c r="B538" s="324"/>
      <c r="C538" s="324"/>
    </row>
    <row r="539" spans="2:3">
      <c r="B539" s="324"/>
      <c r="C539" s="324"/>
    </row>
    <row r="540" spans="2:3">
      <c r="B540" s="324"/>
      <c r="C540" s="324"/>
    </row>
    <row r="541" spans="2:3">
      <c r="B541" s="324"/>
      <c r="C541" s="324"/>
    </row>
    <row r="542" spans="2:3">
      <c r="B542" s="324"/>
      <c r="C542" s="324"/>
    </row>
    <row r="543" spans="2:3">
      <c r="B543" s="324"/>
      <c r="C543" s="324"/>
    </row>
    <row r="544" spans="2:3">
      <c r="B544" s="324"/>
      <c r="C544" s="324"/>
    </row>
  </sheetData>
  <sheetProtection password="CFD4" sheet="1" objects="1" scenarios="1" selectLockedCells="1"/>
  <mergeCells count="54">
    <mergeCell ref="E369:F369"/>
    <mergeCell ref="E383:F383"/>
    <mergeCell ref="E35:F35"/>
    <mergeCell ref="E40:F40"/>
    <mergeCell ref="E45:F45"/>
    <mergeCell ref="F61:G62"/>
    <mergeCell ref="B61:E61"/>
    <mergeCell ref="B62:C62"/>
    <mergeCell ref="D62:E62"/>
    <mergeCell ref="E361:F361"/>
    <mergeCell ref="E347:F347"/>
    <mergeCell ref="E338:F338"/>
    <mergeCell ref="E330:F330"/>
    <mergeCell ref="E320:F320"/>
    <mergeCell ref="E51:F51"/>
    <mergeCell ref="B2:E2"/>
    <mergeCell ref="C16:E16"/>
    <mergeCell ref="F16:H16"/>
    <mergeCell ref="B12:B13"/>
    <mergeCell ref="B6:B7"/>
    <mergeCell ref="E414:F414"/>
    <mergeCell ref="E405:F405"/>
    <mergeCell ref="E397:F397"/>
    <mergeCell ref="E387:F387"/>
    <mergeCell ref="E373:F373"/>
    <mergeCell ref="K54:L54"/>
    <mergeCell ref="E311:F311"/>
    <mergeCell ref="R62:S63"/>
    <mergeCell ref="R64:S64"/>
    <mergeCell ref="R65:S66"/>
    <mergeCell ref="R67:S67"/>
    <mergeCell ref="R68:S69"/>
    <mergeCell ref="R70:S70"/>
    <mergeCell ref="M62:M64"/>
    <mergeCell ref="M65:M67"/>
    <mergeCell ref="M68:M70"/>
    <mergeCell ref="E303:F303"/>
    <mergeCell ref="F63:G63"/>
    <mergeCell ref="J41:K41"/>
    <mergeCell ref="J21:K21"/>
    <mergeCell ref="J23:K23"/>
    <mergeCell ref="R59:S60"/>
    <mergeCell ref="R61:S61"/>
    <mergeCell ref="M59:M61"/>
    <mergeCell ref="K49:L49"/>
    <mergeCell ref="L42:M42"/>
    <mergeCell ref="Q42:R42"/>
    <mergeCell ref="M44:N44"/>
    <mergeCell ref="L46:O46"/>
    <mergeCell ref="L47:O47"/>
    <mergeCell ref="K50:L50"/>
    <mergeCell ref="K51:L51"/>
    <mergeCell ref="K52:L52"/>
    <mergeCell ref="K53:L53"/>
  </mergeCells>
  <phoneticPr fontId="1"/>
  <dataValidations count="11">
    <dataValidation type="list" allowBlank="1" showInputMessage="1" showErrorMessage="1" sqref="C19" xr:uid="{00000000-0002-0000-0800-000000000000}">
      <formula1>$Z$34:$Z$35</formula1>
    </dataValidation>
    <dataValidation type="list" allowBlank="1" showInputMessage="1" showErrorMessage="1" sqref="C18" xr:uid="{00000000-0002-0000-0800-000001000000}">
      <formula1>$Y$34:$Y$37</formula1>
    </dataValidation>
    <dataValidation allowBlank="1" showInputMessage="1" showErrorMessage="1" promptTitle="sei" sqref="Z18:Z23" xr:uid="{00000000-0002-0000-0800-000002000000}"/>
    <dataValidation type="list" allowBlank="1" showInputMessage="1" showErrorMessage="1" sqref="C4" xr:uid="{00000000-0002-0000-0800-000003000000}">
      <formula1>$Y$27:$Y$30</formula1>
    </dataValidation>
    <dataValidation type="list" allowBlank="1" showInputMessage="1" showErrorMessage="1" sqref="C5" xr:uid="{00000000-0002-0000-0800-000004000000}">
      <formula1>$Y$31:$Y$33</formula1>
    </dataValidation>
    <dataValidation type="list" allowBlank="1" showInputMessage="1" showErrorMessage="1" sqref="E5" xr:uid="{00000000-0002-0000-0800-000005000000}">
      <formula1>$Y$18:$Y$26</formula1>
    </dataValidation>
    <dataValidation type="list" allowBlank="1" showInputMessage="1" showErrorMessage="1" sqref="C7" xr:uid="{00000000-0002-0000-0800-000006000000}">
      <formula1>$Z$22:$Z$23</formula1>
    </dataValidation>
    <dataValidation type="list" allowBlank="1" showInputMessage="1" showErrorMessage="1" sqref="D7:E7" xr:uid="{00000000-0002-0000-0800-000007000000}">
      <formula1>$Z$22:$Z$33</formula1>
    </dataValidation>
    <dataValidation type="list" allowBlank="1" showInputMessage="1" showErrorMessage="1" sqref="G14" xr:uid="{00000000-0002-0000-0800-000008000000}">
      <formula1>$AA$30:$AA$33</formula1>
    </dataValidation>
    <dataValidation type="list" allowBlank="1" showInputMessage="1" showErrorMessage="1" sqref="C21" xr:uid="{00000000-0002-0000-0800-000009000000}">
      <formula1>$AA$18:$AA$23</formula1>
    </dataValidation>
    <dataValidation type="list" allowBlank="1" showInputMessage="1" showErrorMessage="1" sqref="H21" xr:uid="{00000000-0002-0000-0800-00000A000000}">
      <formula1>$Z$36:$Z$37</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800-00000B000000}">
          <x14:formula1>
            <xm:f>data!$B$15:$B$23</xm:f>
          </x14:formula1>
          <xm:sqref>C63 E63</xm:sqref>
        </x14:dataValidation>
        <x14:dataValidation type="list" allowBlank="1" showInputMessage="1" showErrorMessage="1" xr:uid="{00000000-0002-0000-0800-00000C000000}">
          <x14:formula1>
            <xm:f>data!$B$35:$B$36</xm:f>
          </x14:formula1>
          <xm:sqref>H21</xm:sqref>
        </x14:dataValidation>
        <x14:dataValidation type="list" allowBlank="1" showInputMessage="1" showErrorMessage="1" xr:uid="{00000000-0002-0000-0800-00000D000000}">
          <x14:formula1>
            <xm:f>data!$A$37:$A$42</xm:f>
          </x14:formula1>
          <xm:sqref>C21</xm:sqref>
        </x14:dataValidation>
        <x14:dataValidation type="list" allowBlank="1" showInputMessage="1" showErrorMessage="1" xr:uid="{00000000-0002-0000-0800-00000E000000}">
          <x14:formula1>
            <xm:f>data!$B$33:$B$34</xm:f>
          </x14:formula1>
          <xm:sqref>C19</xm:sqref>
        </x14:dataValidation>
        <x14:dataValidation type="list" allowBlank="1" showInputMessage="1" showErrorMessage="1" xr:uid="{00000000-0002-0000-0800-00000F000000}">
          <x14:formula1>
            <xm:f>data!$A$33:$A$36</xm:f>
          </x14:formula1>
          <xm:sqref>C18:E18</xm:sqref>
        </x14:dataValidation>
        <x14:dataValidation type="list" allowBlank="1" showInputMessage="1" showErrorMessage="1" xr:uid="{00000000-0002-0000-0800-000010000000}">
          <x14:formula1>
            <xm:f>data!$A$15:$A$17</xm:f>
          </x14:formula1>
          <xm:sqref>C5</xm:sqref>
        </x14:dataValidation>
        <x14:dataValidation type="list" allowBlank="1" showInputMessage="1" showErrorMessage="1" xr:uid="{00000000-0002-0000-0800-000011000000}">
          <x14:formula1>
            <xm:f>data!$B$15:$B$16</xm:f>
          </x14:formula1>
          <xm:sqref>C7</xm:sqref>
        </x14:dataValidation>
        <x14:dataValidation type="list" allowBlank="1" showInputMessage="1" showErrorMessage="1" xr:uid="{00000000-0002-0000-0800-000012000000}">
          <x14:formula1>
            <xm:f>data!$A$11:$A$14</xm:f>
          </x14:formula1>
          <xm:sqref>C4</xm:sqref>
        </x14:dataValidation>
        <x14:dataValidation type="list" allowBlank="1" showInputMessage="1" showErrorMessage="1" xr:uid="{00000000-0002-0000-0800-000013000000}">
          <x14:formula1>
            <xm:f>data!$A$2:$A$10</xm:f>
          </x14:formula1>
          <xm:sqref>E5</xm:sqref>
        </x14:dataValidation>
        <x14:dataValidation type="list" allowBlank="1" showInputMessage="1" showErrorMessage="1" xr:uid="{00000000-0002-0000-0800-000014000000}">
          <x14:formula1>
            <xm:f>data!$A$20:$A$23</xm:f>
          </x14:formula1>
          <xm:sqref>G14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15</vt:i4>
      </vt:variant>
    </vt:vector>
  </HeadingPairs>
  <TitlesOfParts>
    <vt:vector size="15" baseType="lpstr">
      <vt:lpstr>表紙</vt:lpstr>
      <vt:lpstr>はじめに</vt:lpstr>
      <vt:lpstr>根太</vt:lpstr>
      <vt:lpstr>床小梁</vt:lpstr>
      <vt:lpstr>床大梁（非支持）</vt:lpstr>
      <vt:lpstr>たるき</vt:lpstr>
      <vt:lpstr>もや・むな木</vt:lpstr>
      <vt:lpstr>小屋ばり</vt:lpstr>
      <vt:lpstr>軒げた</vt:lpstr>
      <vt:lpstr>胴差１_1</vt:lpstr>
      <vt:lpstr>胴差1_2</vt:lpstr>
      <vt:lpstr>胴差の荷重形式</vt:lpstr>
      <vt:lpstr>胴差2_1</vt:lpstr>
      <vt:lpstr>胴差2_2</vt:lpstr>
      <vt:lpstr>data</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2013-07-18T07:23:51Z</dcterms:created>
  <dcterms:modified xsi:type="dcterms:W3CDTF">2022-08-01T07:14:52Z</dcterms:modified>
</cp:coreProperties>
</file>