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35" windowWidth="14460" windowHeight="8160" activeTab="0"/>
  </bookViews>
  <sheets>
    <sheet name="市町村・保健所・県計" sheetId="1" r:id="rId1"/>
    <sheet name="年齢階級別" sheetId="2" r:id="rId2"/>
  </sheets>
  <externalReferences>
    <externalReference r:id="rId5"/>
  </externalReferences>
  <definedNames>
    <definedName name="_15.8.1男胃" localSheetId="0">'市町村・保健所・県計'!#REF!</definedName>
    <definedName name="_15.8.1男胃" localSheetId="1">'年齢階級別'!#REF!</definedName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'[1]子宮'!#REF!</definedName>
    <definedName name="_15.8.6女乳">'[1]乳'!#REF!</definedName>
    <definedName name="_xlnm.Print_Titles" localSheetId="0">'市町村・保健所・県計'!$1:$4</definedName>
  </definedNames>
  <calcPr fullCalcOnLoad="1"/>
</workbook>
</file>

<file path=xl/sharedStrings.xml><?xml version="1.0" encoding="utf-8"?>
<sst xmlns="http://schemas.openxmlformats.org/spreadsheetml/2006/main" count="319" uniqueCount="120">
  <si>
    <t>初回受診者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</si>
  <si>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</si>
  <si>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</si>
  <si>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</si>
  <si>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</si>
  <si>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</si>
  <si>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</si>
  <si>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</si>
  <si>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</si>
  <si>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</si>
  <si>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</si>
  <si>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</si>
  <si>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</si>
  <si>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</si>
  <si>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</si>
  <si>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玉野市</t>
  </si>
  <si>
    <t>備前市</t>
  </si>
  <si>
    <t>和気町</t>
  </si>
  <si>
    <t>総社市</t>
  </si>
  <si>
    <t>早島町</t>
  </si>
  <si>
    <t>笠岡市</t>
  </si>
  <si>
    <t>浅口市</t>
  </si>
  <si>
    <t>里庄町</t>
  </si>
  <si>
    <t>矢掛町</t>
  </si>
  <si>
    <t>新見市</t>
  </si>
  <si>
    <t>新庄村</t>
  </si>
  <si>
    <t>津山市</t>
  </si>
  <si>
    <t>鏡野町</t>
  </si>
  <si>
    <t>久米南町</t>
  </si>
  <si>
    <t>美咲町</t>
  </si>
  <si>
    <t>勝央町</t>
  </si>
  <si>
    <t>奈義町</t>
  </si>
  <si>
    <t>西粟倉村</t>
  </si>
  <si>
    <t>岡山県</t>
  </si>
  <si>
    <t>男</t>
  </si>
  <si>
    <t>女</t>
  </si>
  <si>
    <t>計</t>
  </si>
  <si>
    <t>受診者の状況</t>
  </si>
  <si>
    <t>精密検診</t>
  </si>
  <si>
    <t>精密検診結果別人員</t>
  </si>
  <si>
    <t>がん発見</t>
  </si>
  <si>
    <t>対象年齢
人口</t>
  </si>
  <si>
    <t>対象者数
（人）</t>
  </si>
  <si>
    <t>対象者率
（％）</t>
  </si>
  <si>
    <t>受診者数
（人）</t>
  </si>
  <si>
    <t>受診率
（％）</t>
  </si>
  <si>
    <t>要精検者
数（人）</t>
  </si>
  <si>
    <t>要精検率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</si>
  <si>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</si>
  <si>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</si>
  <si>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</si>
  <si>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</si>
  <si>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</si>
  <si>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未受診者
（人）</t>
  </si>
  <si>
    <t>がん
発見率
（％）</t>
  </si>
  <si>
    <t>早期がん　　　　発見患者数（人）</t>
  </si>
  <si>
    <t>早期がん
発見率
（％）</t>
  </si>
  <si>
    <t>陽性反応
的中度
（％）</t>
  </si>
  <si>
    <t>初回
受診者
（人）</t>
  </si>
  <si>
    <t>同左の
割合
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</si>
  <si>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</si>
  <si>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</si>
  <si>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</si>
  <si>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</si>
  <si>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</si>
  <si>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</si>
  <si>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</si>
  <si>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</si>
  <si>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</si>
  <si>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</si>
  <si>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</si>
  <si>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G</t>
  </si>
  <si>
    <t>G/C</t>
  </si>
  <si>
    <t>F/E</t>
  </si>
  <si>
    <t>H</t>
  </si>
  <si>
    <t>H/C</t>
  </si>
  <si>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</si>
  <si>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</si>
  <si>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</si>
  <si>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</si>
  <si>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</si>
  <si>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</si>
  <si>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</si>
  <si>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新見保健所</t>
  </si>
  <si>
    <t>真庭保健所</t>
  </si>
  <si>
    <t>津山保健所</t>
  </si>
  <si>
    <t>勝英保健所</t>
  </si>
  <si>
    <t>－</t>
  </si>
  <si>
    <t>－</t>
  </si>
  <si>
    <t>－</t>
  </si>
  <si>
    <t>対象年齢
人口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</si>
  <si>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</si>
  <si>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</si>
  <si>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</si>
  <si>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</si>
  <si>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</si>
  <si>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</si>
  <si>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</si>
  <si>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</si>
  <si>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</si>
  <si>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</si>
  <si>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</si>
  <si>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G</t>
  </si>
  <si>
    <t>G/C</t>
  </si>
  <si>
    <t>F/E</t>
  </si>
  <si>
    <t>H</t>
  </si>
  <si>
    <t>H/C</t>
  </si>
  <si>
    <t>平成２０年度　大腸がん検診</t>
  </si>
  <si>
    <t>倉敷市</t>
  </si>
  <si>
    <t>瀬戸内市</t>
  </si>
  <si>
    <t>吉備中央町</t>
  </si>
  <si>
    <t>赤磐市</t>
  </si>
  <si>
    <t>井原市</t>
  </si>
  <si>
    <t>高梁市</t>
  </si>
  <si>
    <t>真庭市</t>
  </si>
  <si>
    <t>美作市</t>
  </si>
  <si>
    <t>平成２０年度　大腸がん検診（年齢階級別）</t>
  </si>
  <si>
    <t>岡山市
（本庁）</t>
  </si>
  <si>
    <t>岡山市
（御津）</t>
  </si>
  <si>
    <t>岡山市
（建部）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</si>
</sst>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0"/>
    <numFmt numFmtId="178" formatCode="yy/mm/dd"/>
    <numFmt numFmtId="179" formatCode="#,##0_);[Red]\(#,##0\)"/>
    <numFmt numFmtId="180" formatCode="#,##0.0_);[Red]\(#,##0.0\)"/>
    <numFmt numFmtId="181" formatCode="0.000_);[Red]\(0.000\)"/>
    <numFmt numFmtId="182" formatCode="0.00_);[Red]\(0.00\)"/>
    <numFmt numFmtId="183" formatCode="0.0_);[Red]\(0.0\)"/>
    <numFmt numFmtId="184" formatCode="0_);[Red]\(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dotted"/>
    </border>
    <border>
      <left style="double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medium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81" fontId="7" fillId="0" borderId="6" xfId="0" applyNumberFormat="1" applyFont="1" applyFill="1" applyBorder="1" applyAlignment="1">
      <alignment horizontal="center" vertical="center" wrapText="1"/>
    </xf>
    <xf numFmtId="182" fontId="7" fillId="0" borderId="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183" fontId="7" fillId="0" borderId="7" xfId="0" applyNumberFormat="1" applyFont="1" applyFill="1" applyBorder="1" applyAlignment="1">
      <alignment horizontal="center" vertical="center"/>
    </xf>
    <xf numFmtId="183" fontId="7" fillId="0" borderId="1" xfId="0" applyNumberFormat="1" applyFont="1" applyFill="1" applyBorder="1" applyAlignment="1">
      <alignment horizontal="center" vertical="center" wrapText="1"/>
    </xf>
    <xf numFmtId="183" fontId="7" fillId="0" borderId="8" xfId="0" applyNumberFormat="1" applyFont="1" applyFill="1" applyBorder="1" applyAlignment="1">
      <alignment horizontal="center" vertical="center" wrapText="1"/>
    </xf>
    <xf numFmtId="183" fontId="7" fillId="0" borderId="3" xfId="0" applyNumberFormat="1" applyFont="1" applyFill="1" applyBorder="1" applyAlignment="1">
      <alignment horizontal="center" vertical="center" wrapText="1"/>
    </xf>
    <xf numFmtId="183" fontId="7" fillId="0" borderId="9" xfId="0" applyNumberFormat="1" applyFont="1" applyFill="1" applyBorder="1" applyAlignment="1">
      <alignment horizontal="center" vertical="center" wrapText="1"/>
    </xf>
    <xf numFmtId="179" fontId="7" fillId="2" borderId="7" xfId="0" applyNumberFormat="1" applyFont="1" applyFill="1" applyBorder="1" applyAlignment="1">
      <alignment horizontal="centerContinuous" vertical="center" wrapText="1"/>
    </xf>
    <xf numFmtId="179" fontId="7" fillId="2" borderId="1" xfId="0" applyNumberFormat="1" applyFont="1" applyFill="1" applyBorder="1" applyAlignment="1" applyProtection="1">
      <alignment vertical="center"/>
      <protection/>
    </xf>
    <xf numFmtId="183" fontId="7" fillId="2" borderId="1" xfId="0" applyNumberFormat="1" applyFont="1" applyFill="1" applyBorder="1" applyAlignment="1" applyProtection="1">
      <alignment vertical="center"/>
      <protection/>
    </xf>
    <xf numFmtId="179" fontId="7" fillId="2" borderId="1" xfId="0" applyNumberFormat="1" applyFont="1" applyFill="1" applyBorder="1" applyAlignment="1" applyProtection="1">
      <alignment vertical="center"/>
      <protection locked="0"/>
    </xf>
    <xf numFmtId="183" fontId="7" fillId="2" borderId="1" xfId="0" applyNumberFormat="1" applyFont="1" applyFill="1" applyBorder="1" applyAlignment="1" applyProtection="1">
      <alignment vertical="center"/>
      <protection locked="0"/>
    </xf>
    <xf numFmtId="179" fontId="7" fillId="2" borderId="2" xfId="0" applyNumberFormat="1" applyFont="1" applyFill="1" applyBorder="1" applyAlignment="1" applyProtection="1">
      <alignment vertical="center"/>
      <protection/>
    </xf>
    <xf numFmtId="181" fontId="7" fillId="2" borderId="10" xfId="0" applyNumberFormat="1" applyFont="1" applyFill="1" applyBorder="1" applyAlignment="1" applyProtection="1">
      <alignment vertical="center"/>
      <protection/>
    </xf>
    <xf numFmtId="182" fontId="7" fillId="2" borderId="1" xfId="0" applyNumberFormat="1" applyFont="1" applyFill="1" applyBorder="1" applyAlignment="1" applyProtection="1">
      <alignment vertical="center"/>
      <protection/>
    </xf>
    <xf numFmtId="183" fontId="7" fillId="2" borderId="11" xfId="0" applyNumberFormat="1" applyFont="1" applyFill="1" applyBorder="1" applyAlignment="1" applyProtection="1">
      <alignment vertical="center"/>
      <protection/>
    </xf>
    <xf numFmtId="179" fontId="7" fillId="2" borderId="12" xfId="0" applyNumberFormat="1" applyFont="1" applyFill="1" applyBorder="1" applyAlignment="1">
      <alignment horizontal="centerContinuous" vertical="center" wrapText="1"/>
    </xf>
    <xf numFmtId="179" fontId="7" fillId="2" borderId="13" xfId="0" applyNumberFormat="1" applyFont="1" applyFill="1" applyBorder="1" applyAlignment="1" applyProtection="1">
      <alignment vertical="center"/>
      <protection/>
    </xf>
    <xf numFmtId="183" fontId="7" fillId="2" borderId="13" xfId="0" applyNumberFormat="1" applyFont="1" applyFill="1" applyBorder="1" applyAlignment="1" applyProtection="1">
      <alignment vertical="center"/>
      <protection/>
    </xf>
    <xf numFmtId="179" fontId="7" fillId="2" borderId="13" xfId="0" applyNumberFormat="1" applyFont="1" applyFill="1" applyBorder="1" applyAlignment="1" applyProtection="1">
      <alignment vertical="center"/>
      <protection locked="0"/>
    </xf>
    <xf numFmtId="183" fontId="7" fillId="2" borderId="13" xfId="0" applyNumberFormat="1" applyFont="1" applyFill="1" applyBorder="1" applyAlignment="1" applyProtection="1">
      <alignment vertical="center"/>
      <protection locked="0"/>
    </xf>
    <xf numFmtId="179" fontId="7" fillId="2" borderId="14" xfId="0" applyNumberFormat="1" applyFont="1" applyFill="1" applyBorder="1" applyAlignment="1" applyProtection="1">
      <alignment vertical="center"/>
      <protection/>
    </xf>
    <xf numFmtId="181" fontId="7" fillId="2" borderId="15" xfId="0" applyNumberFormat="1" applyFont="1" applyFill="1" applyBorder="1" applyAlignment="1" applyProtection="1">
      <alignment vertical="center"/>
      <protection/>
    </xf>
    <xf numFmtId="182" fontId="7" fillId="2" borderId="13" xfId="0" applyNumberFormat="1" applyFont="1" applyFill="1" applyBorder="1" applyAlignment="1" applyProtection="1">
      <alignment vertical="center"/>
      <protection/>
    </xf>
    <xf numFmtId="183" fontId="7" fillId="2" borderId="16" xfId="0" applyNumberFormat="1" applyFont="1" applyFill="1" applyBorder="1" applyAlignment="1" applyProtection="1">
      <alignment vertical="center"/>
      <protection/>
    </xf>
    <xf numFmtId="179" fontId="7" fillId="2" borderId="17" xfId="0" applyNumberFormat="1" applyFont="1" applyFill="1" applyBorder="1" applyAlignment="1">
      <alignment horizontal="centerContinuous" vertical="center" wrapText="1"/>
    </xf>
    <xf numFmtId="179" fontId="7" fillId="2" borderId="18" xfId="0" applyNumberFormat="1" applyFont="1" applyFill="1" applyBorder="1" applyAlignment="1">
      <alignment vertical="center"/>
    </xf>
    <xf numFmtId="183" fontId="7" fillId="2" borderId="18" xfId="0" applyNumberFormat="1" applyFont="1" applyFill="1" applyBorder="1" applyAlignment="1">
      <alignment vertical="center"/>
    </xf>
    <xf numFmtId="181" fontId="7" fillId="2" borderId="19" xfId="0" applyNumberFormat="1" applyFont="1" applyFill="1" applyBorder="1" applyAlignment="1">
      <alignment vertical="center"/>
    </xf>
    <xf numFmtId="182" fontId="7" fillId="2" borderId="18" xfId="0" applyNumberFormat="1" applyFont="1" applyFill="1" applyBorder="1" applyAlignment="1">
      <alignment vertical="center"/>
    </xf>
    <xf numFmtId="183" fontId="7" fillId="2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horizontal="centerContinuous" vertical="center" wrapText="1"/>
    </xf>
    <xf numFmtId="179" fontId="7" fillId="0" borderId="22" xfId="0" applyNumberFormat="1" applyFont="1" applyFill="1" applyBorder="1" applyAlignment="1" applyProtection="1">
      <alignment vertical="center"/>
      <protection/>
    </xf>
    <xf numFmtId="183" fontId="7" fillId="0" borderId="22" xfId="0" applyNumberFormat="1" applyFont="1" applyFill="1" applyBorder="1" applyAlignment="1" applyProtection="1">
      <alignment vertical="center"/>
      <protection/>
    </xf>
    <xf numFmtId="179" fontId="7" fillId="0" borderId="22" xfId="0" applyNumberFormat="1" applyFont="1" applyFill="1" applyBorder="1" applyAlignment="1" applyProtection="1">
      <alignment vertical="center"/>
      <protection locked="0"/>
    </xf>
    <xf numFmtId="183" fontId="7" fillId="0" borderId="22" xfId="0" applyNumberFormat="1" applyFont="1" applyFill="1" applyBorder="1" applyAlignment="1" applyProtection="1">
      <alignment vertical="center"/>
      <protection locked="0"/>
    </xf>
    <xf numFmtId="179" fontId="7" fillId="0" borderId="23" xfId="0" applyNumberFormat="1" applyFont="1" applyFill="1" applyBorder="1" applyAlignment="1" applyProtection="1">
      <alignment vertical="center"/>
      <protection/>
    </xf>
    <xf numFmtId="181" fontId="7" fillId="0" borderId="24" xfId="0" applyNumberFormat="1" applyFont="1" applyFill="1" applyBorder="1" applyAlignment="1" applyProtection="1">
      <alignment vertical="center"/>
      <protection/>
    </xf>
    <xf numFmtId="182" fontId="7" fillId="0" borderId="22" xfId="0" applyNumberFormat="1" applyFont="1" applyFill="1" applyBorder="1" applyAlignment="1" applyProtection="1">
      <alignment vertical="center"/>
      <protection/>
    </xf>
    <xf numFmtId="183" fontId="7" fillId="0" borderId="25" xfId="0" applyNumberFormat="1" applyFont="1" applyFill="1" applyBorder="1" applyAlignment="1" applyProtection="1">
      <alignment vertical="center"/>
      <protection/>
    </xf>
    <xf numFmtId="179" fontId="7" fillId="0" borderId="26" xfId="0" applyNumberFormat="1" applyFont="1" applyFill="1" applyBorder="1" applyAlignment="1">
      <alignment horizontal="centerContinuous" vertical="center" wrapText="1"/>
    </xf>
    <xf numFmtId="179" fontId="7" fillId="0" borderId="27" xfId="0" applyNumberFormat="1" applyFont="1" applyFill="1" applyBorder="1" applyAlignment="1" applyProtection="1">
      <alignment vertical="center"/>
      <protection/>
    </xf>
    <xf numFmtId="183" fontId="7" fillId="0" borderId="27" xfId="0" applyNumberFormat="1" applyFont="1" applyFill="1" applyBorder="1" applyAlignment="1" applyProtection="1">
      <alignment vertical="center"/>
      <protection/>
    </xf>
    <xf numFmtId="179" fontId="7" fillId="0" borderId="27" xfId="0" applyNumberFormat="1" applyFont="1" applyFill="1" applyBorder="1" applyAlignment="1" applyProtection="1">
      <alignment vertical="center"/>
      <protection locked="0"/>
    </xf>
    <xf numFmtId="183" fontId="7" fillId="0" borderId="27" xfId="0" applyNumberFormat="1" applyFont="1" applyFill="1" applyBorder="1" applyAlignment="1" applyProtection="1">
      <alignment vertical="center"/>
      <protection locked="0"/>
    </xf>
    <xf numFmtId="179" fontId="7" fillId="0" borderId="28" xfId="0" applyNumberFormat="1" applyFont="1" applyFill="1" applyBorder="1" applyAlignment="1" applyProtection="1">
      <alignment vertical="center"/>
      <protection/>
    </xf>
    <xf numFmtId="181" fontId="7" fillId="0" borderId="29" xfId="0" applyNumberFormat="1" applyFont="1" applyFill="1" applyBorder="1" applyAlignment="1" applyProtection="1">
      <alignment vertical="center"/>
      <protection/>
    </xf>
    <xf numFmtId="182" fontId="7" fillId="0" borderId="27" xfId="0" applyNumberFormat="1" applyFont="1" applyFill="1" applyBorder="1" applyAlignment="1" applyProtection="1">
      <alignment vertical="center"/>
      <protection/>
    </xf>
    <xf numFmtId="183" fontId="7" fillId="0" borderId="30" xfId="0" applyNumberFormat="1" applyFont="1" applyFill="1" applyBorder="1" applyAlignment="1" applyProtection="1">
      <alignment vertical="center"/>
      <protection/>
    </xf>
    <xf numFmtId="179" fontId="7" fillId="0" borderId="31" xfId="0" applyNumberFormat="1" applyFont="1" applyFill="1" applyBorder="1" applyAlignment="1" applyProtection="1">
      <alignment vertical="center"/>
      <protection/>
    </xf>
    <xf numFmtId="179" fontId="7" fillId="0" borderId="32" xfId="0" applyNumberFormat="1" applyFont="1" applyFill="1" applyBorder="1" applyAlignment="1" applyProtection="1">
      <alignment vertical="center"/>
      <protection/>
    </xf>
    <xf numFmtId="183" fontId="7" fillId="0" borderId="31" xfId="0" applyNumberFormat="1" applyFont="1" applyFill="1" applyBorder="1" applyAlignment="1" applyProtection="1">
      <alignment vertical="center"/>
      <protection/>
    </xf>
    <xf numFmtId="179" fontId="7" fillId="0" borderId="31" xfId="0" applyNumberFormat="1" applyFont="1" applyFill="1" applyBorder="1" applyAlignment="1" applyProtection="1">
      <alignment vertical="center"/>
      <protection locked="0"/>
    </xf>
    <xf numFmtId="183" fontId="7" fillId="0" borderId="31" xfId="0" applyNumberFormat="1" applyFont="1" applyFill="1" applyBorder="1" applyAlignment="1" applyProtection="1">
      <alignment vertical="center"/>
      <protection locked="0"/>
    </xf>
    <xf numFmtId="179" fontId="7" fillId="0" borderId="33" xfId="0" applyNumberFormat="1" applyFont="1" applyFill="1" applyBorder="1" applyAlignment="1" applyProtection="1">
      <alignment vertical="center"/>
      <protection/>
    </xf>
    <xf numFmtId="181" fontId="7" fillId="0" borderId="34" xfId="0" applyNumberFormat="1" applyFont="1" applyFill="1" applyBorder="1" applyAlignment="1" applyProtection="1">
      <alignment vertical="center"/>
      <protection/>
    </xf>
    <xf numFmtId="182" fontId="7" fillId="0" borderId="31" xfId="0" applyNumberFormat="1" applyFont="1" applyFill="1" applyBorder="1" applyAlignment="1" applyProtection="1">
      <alignment vertical="center"/>
      <protection/>
    </xf>
    <xf numFmtId="183" fontId="7" fillId="0" borderId="35" xfId="0" applyNumberFormat="1" applyFont="1" applyFill="1" applyBorder="1" applyAlignment="1" applyProtection="1">
      <alignment vertical="center"/>
      <protection/>
    </xf>
    <xf numFmtId="179" fontId="7" fillId="0" borderId="8" xfId="0" applyNumberFormat="1" applyFont="1" applyFill="1" applyBorder="1" applyAlignment="1">
      <alignment horizontal="centerContinuous" vertical="center" wrapText="1"/>
    </xf>
    <xf numFmtId="179" fontId="7" fillId="0" borderId="36" xfId="0" applyNumberFormat="1" applyFont="1" applyFill="1" applyBorder="1" applyAlignment="1" applyProtection="1">
      <alignment vertical="center"/>
      <protection/>
    </xf>
    <xf numFmtId="179" fontId="7" fillId="0" borderId="37" xfId="0" applyNumberFormat="1" applyFont="1" applyFill="1" applyBorder="1" applyAlignment="1" applyProtection="1">
      <alignment vertical="center"/>
      <protection/>
    </xf>
    <xf numFmtId="179" fontId="7" fillId="0" borderId="12" xfId="0" applyNumberFormat="1" applyFont="1" applyFill="1" applyBorder="1" applyAlignment="1">
      <alignment horizontal="centerContinuous" vertical="center" wrapText="1"/>
    </xf>
    <xf numFmtId="179" fontId="7" fillId="0" borderId="13" xfId="0" applyNumberFormat="1" applyFont="1" applyFill="1" applyBorder="1" applyAlignment="1" applyProtection="1">
      <alignment vertical="center"/>
      <protection/>
    </xf>
    <xf numFmtId="179" fontId="7" fillId="0" borderId="13" xfId="0" applyNumberFormat="1" applyFont="1" applyFill="1" applyBorder="1" applyAlignment="1" applyProtection="1">
      <alignment vertical="center"/>
      <protection locked="0"/>
    </xf>
    <xf numFmtId="179" fontId="7" fillId="0" borderId="14" xfId="0" applyNumberFormat="1" applyFont="1" applyFill="1" applyBorder="1" applyAlignment="1" applyProtection="1">
      <alignment vertical="center"/>
      <protection/>
    </xf>
    <xf numFmtId="179" fontId="7" fillId="0" borderId="38" xfId="0" applyNumberFormat="1" applyFont="1" applyFill="1" applyBorder="1" applyAlignment="1" applyProtection="1">
      <alignment vertical="center"/>
      <protection/>
    </xf>
    <xf numFmtId="179" fontId="7" fillId="0" borderId="38" xfId="0" applyNumberFormat="1" applyFont="1" applyFill="1" applyBorder="1" applyAlignment="1" applyProtection="1">
      <alignment vertical="center"/>
      <protection locked="0"/>
    </xf>
    <xf numFmtId="179" fontId="7" fillId="0" borderId="39" xfId="0" applyNumberFormat="1" applyFont="1" applyFill="1" applyBorder="1" applyAlignment="1" applyProtection="1">
      <alignment vertical="center"/>
      <protection/>
    </xf>
    <xf numFmtId="179" fontId="7" fillId="2" borderId="40" xfId="0" applyNumberFormat="1" applyFont="1" applyFill="1" applyBorder="1" applyAlignment="1" applyProtection="1">
      <alignment vertical="center"/>
      <protection/>
    </xf>
    <xf numFmtId="179" fontId="7" fillId="2" borderId="41" xfId="0" applyNumberFormat="1" applyFont="1" applyFill="1" applyBorder="1" applyAlignment="1" applyProtection="1">
      <alignment vertical="center"/>
      <protection/>
    </xf>
    <xf numFmtId="179" fontId="7" fillId="2" borderId="42" xfId="0" applyNumberFormat="1" applyFont="1" applyFill="1" applyBorder="1" applyAlignment="1">
      <alignment horizontal="centerContinuous" vertical="center" wrapText="1"/>
    </xf>
    <xf numFmtId="179" fontId="7" fillId="2" borderId="26" xfId="0" applyNumberFormat="1" applyFont="1" applyFill="1" applyBorder="1" applyAlignment="1">
      <alignment horizontal="centerContinuous" vertical="center" wrapText="1"/>
    </xf>
    <xf numFmtId="179" fontId="7" fillId="0" borderId="3" xfId="0" applyNumberFormat="1" applyFont="1" applyFill="1" applyBorder="1" applyAlignment="1" applyProtection="1">
      <alignment vertical="center"/>
      <protection/>
    </xf>
    <xf numFmtId="179" fontId="7" fillId="0" borderId="5" xfId="0" applyNumberFormat="1" applyFont="1" applyFill="1" applyBorder="1" applyAlignment="1" applyProtection="1">
      <alignment vertical="center"/>
      <protection/>
    </xf>
    <xf numFmtId="179" fontId="7" fillId="0" borderId="43" xfId="0" applyNumberFormat="1" applyFont="1" applyFill="1" applyBorder="1" applyAlignment="1">
      <alignment horizontal="centerContinuous" vertical="center" wrapText="1"/>
    </xf>
    <xf numFmtId="179" fontId="8" fillId="0" borderId="0" xfId="0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horizontal="center" vertical="center"/>
    </xf>
    <xf numFmtId="184" fontId="7" fillId="0" borderId="44" xfId="0" applyNumberFormat="1" applyFont="1" applyFill="1" applyBorder="1" applyAlignment="1">
      <alignment horizontal="center" vertical="center"/>
    </xf>
    <xf numFmtId="184" fontId="7" fillId="0" borderId="43" xfId="0" applyNumberFormat="1" applyFont="1" applyFill="1" applyBorder="1" applyAlignment="1">
      <alignment horizontal="center" vertical="center"/>
    </xf>
    <xf numFmtId="184" fontId="7" fillId="0" borderId="4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83" fontId="7" fillId="0" borderId="3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183" fontId="7" fillId="0" borderId="17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3" fontId="7" fillId="0" borderId="18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81" fontId="7" fillId="0" borderId="19" xfId="0" applyNumberFormat="1" applyFont="1" applyFill="1" applyBorder="1" applyAlignment="1">
      <alignment horizontal="center" vertical="center" wrapText="1"/>
    </xf>
    <xf numFmtId="182" fontId="7" fillId="0" borderId="18" xfId="0" applyNumberFormat="1" applyFont="1" applyFill="1" applyBorder="1" applyAlignment="1">
      <alignment horizontal="center" vertical="center" wrapText="1"/>
    </xf>
    <xf numFmtId="183" fontId="7" fillId="0" borderId="20" xfId="0" applyNumberFormat="1" applyFont="1" applyFill="1" applyBorder="1" applyAlignment="1">
      <alignment horizontal="center" vertical="center" wrapText="1"/>
    </xf>
    <xf numFmtId="179" fontId="7" fillId="0" borderId="48" xfId="0" applyNumberFormat="1" applyFont="1" applyFill="1" applyBorder="1" applyAlignment="1" applyProtection="1">
      <alignment vertical="center"/>
      <protection locked="0"/>
    </xf>
    <xf numFmtId="183" fontId="7" fillId="0" borderId="42" xfId="0" applyNumberFormat="1" applyFont="1" applyFill="1" applyBorder="1" applyAlignment="1" applyProtection="1">
      <alignment vertical="center"/>
      <protection locked="0"/>
    </xf>
    <xf numFmtId="179" fontId="7" fillId="0" borderId="49" xfId="0" applyNumberFormat="1" applyFont="1" applyFill="1" applyBorder="1" applyAlignment="1" applyProtection="1">
      <alignment vertical="center"/>
      <protection locked="0"/>
    </xf>
    <xf numFmtId="183" fontId="7" fillId="0" borderId="50" xfId="0" applyNumberFormat="1" applyFont="1" applyFill="1" applyBorder="1" applyAlignment="1" applyProtection="1">
      <alignment vertical="center"/>
      <protection locked="0"/>
    </xf>
    <xf numFmtId="183" fontId="7" fillId="0" borderId="51" xfId="0" applyNumberFormat="1" applyFont="1" applyFill="1" applyBorder="1" applyAlignment="1" applyProtection="1">
      <alignment vertical="center"/>
      <protection locked="0"/>
    </xf>
    <xf numFmtId="179" fontId="7" fillId="0" borderId="51" xfId="0" applyNumberFormat="1" applyFont="1" applyFill="1" applyBorder="1" applyAlignment="1" applyProtection="1">
      <alignment vertical="center"/>
      <protection locked="0"/>
    </xf>
    <xf numFmtId="179" fontId="7" fillId="0" borderId="52" xfId="0" applyNumberFormat="1" applyFont="1" applyFill="1" applyBorder="1" applyAlignment="1" applyProtection="1">
      <alignment vertical="center"/>
      <protection locked="0"/>
    </xf>
    <xf numFmtId="181" fontId="7" fillId="0" borderId="51" xfId="0" applyNumberFormat="1" applyFont="1" applyFill="1" applyBorder="1" applyAlignment="1" applyProtection="1">
      <alignment vertical="center"/>
      <protection locked="0"/>
    </xf>
    <xf numFmtId="182" fontId="7" fillId="0" borderId="48" xfId="0" applyNumberFormat="1" applyFont="1" applyFill="1" applyBorder="1" applyAlignment="1" applyProtection="1">
      <alignment vertical="center"/>
      <protection locked="0"/>
    </xf>
    <xf numFmtId="183" fontId="7" fillId="0" borderId="48" xfId="0" applyNumberFormat="1" applyFont="1" applyFill="1" applyBorder="1" applyAlignment="1" applyProtection="1">
      <alignment vertical="center"/>
      <protection locked="0"/>
    </xf>
    <xf numFmtId="183" fontId="7" fillId="0" borderId="53" xfId="0" applyNumberFormat="1" applyFont="1" applyFill="1" applyBorder="1" applyAlignment="1" applyProtection="1">
      <alignment vertical="center"/>
      <protection locked="0"/>
    </xf>
    <xf numFmtId="179" fontId="7" fillId="0" borderId="54" xfId="0" applyNumberFormat="1" applyFont="1" applyFill="1" applyBorder="1" applyAlignment="1">
      <alignment vertical="center"/>
    </xf>
    <xf numFmtId="183" fontId="7" fillId="0" borderId="55" xfId="0" applyNumberFormat="1" applyFont="1" applyFill="1" applyBorder="1" applyAlignment="1">
      <alignment vertical="center"/>
    </xf>
    <xf numFmtId="179" fontId="7" fillId="0" borderId="56" xfId="0" applyNumberFormat="1" applyFont="1" applyFill="1" applyBorder="1" applyAlignment="1" applyProtection="1">
      <alignment vertical="center"/>
      <protection locked="0"/>
    </xf>
    <xf numFmtId="183" fontId="7" fillId="0" borderId="57" xfId="0" applyNumberFormat="1" applyFont="1" applyFill="1" applyBorder="1" applyAlignment="1" applyProtection="1">
      <alignment vertical="center"/>
      <protection locked="0"/>
    </xf>
    <xf numFmtId="179" fontId="7" fillId="0" borderId="54" xfId="0" applyNumberFormat="1" applyFont="1" applyFill="1" applyBorder="1" applyAlignment="1" applyProtection="1">
      <alignment vertical="center"/>
      <protection locked="0"/>
    </xf>
    <xf numFmtId="183" fontId="7" fillId="0" borderId="58" xfId="0" applyNumberFormat="1" applyFont="1" applyFill="1" applyBorder="1" applyAlignment="1" applyProtection="1">
      <alignment vertical="center"/>
      <protection locked="0"/>
    </xf>
    <xf numFmtId="179" fontId="7" fillId="0" borderId="58" xfId="0" applyNumberFormat="1" applyFont="1" applyFill="1" applyBorder="1" applyAlignment="1" applyProtection="1">
      <alignment vertical="center"/>
      <protection locked="0"/>
    </xf>
    <xf numFmtId="179" fontId="7" fillId="0" borderId="59" xfId="0" applyNumberFormat="1" applyFont="1" applyFill="1" applyBorder="1" applyAlignment="1" applyProtection="1">
      <alignment vertical="center"/>
      <protection locked="0"/>
    </xf>
    <xf numFmtId="181" fontId="7" fillId="0" borderId="58" xfId="0" applyNumberFormat="1" applyFont="1" applyFill="1" applyBorder="1" applyAlignment="1" applyProtection="1">
      <alignment vertical="center"/>
      <protection locked="0"/>
    </xf>
    <xf numFmtId="182" fontId="7" fillId="0" borderId="54" xfId="0" applyNumberFormat="1" applyFont="1" applyFill="1" applyBorder="1" applyAlignment="1">
      <alignment vertical="center"/>
    </xf>
    <xf numFmtId="183" fontId="7" fillId="0" borderId="54" xfId="0" applyNumberFormat="1" applyFont="1" applyFill="1" applyBorder="1" applyAlignment="1">
      <alignment vertical="center"/>
    </xf>
    <xf numFmtId="183" fontId="7" fillId="0" borderId="60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61" xfId="0" applyNumberFormat="1" applyFont="1" applyFill="1" applyBorder="1" applyAlignment="1" applyProtection="1">
      <alignment vertical="center"/>
      <protection locked="0"/>
    </xf>
    <xf numFmtId="179" fontId="7" fillId="0" borderId="14" xfId="0" applyNumberFormat="1" applyFont="1" applyFill="1" applyBorder="1" applyAlignment="1" applyProtection="1">
      <alignment vertical="center"/>
      <protection locked="0"/>
    </xf>
    <xf numFmtId="179" fontId="7" fillId="0" borderId="62" xfId="0" applyNumberFormat="1" applyFont="1" applyFill="1" applyBorder="1" applyAlignment="1" applyProtection="1">
      <alignment vertical="center"/>
      <protection locked="0"/>
    </xf>
    <xf numFmtId="179" fontId="7" fillId="0" borderId="39" xfId="0" applyNumberFormat="1" applyFont="1" applyFill="1" applyBorder="1" applyAlignment="1" applyProtection="1">
      <alignment vertical="center"/>
      <protection locked="0"/>
    </xf>
    <xf numFmtId="179" fontId="7" fillId="0" borderId="38" xfId="0" applyNumberFormat="1" applyFont="1" applyFill="1" applyBorder="1" applyAlignment="1">
      <alignment vertical="center"/>
    </xf>
    <xf numFmtId="179" fontId="7" fillId="0" borderId="63" xfId="0" applyNumberFormat="1" applyFont="1" applyFill="1" applyBorder="1" applyAlignment="1" applyProtection="1">
      <alignment vertical="center"/>
      <protection locked="0"/>
    </xf>
    <xf numFmtId="179" fontId="7" fillId="0" borderId="44" xfId="0" applyNumberFormat="1" applyFont="1" applyFill="1" applyBorder="1" applyAlignment="1" applyProtection="1">
      <alignment vertical="center"/>
      <protection locked="0"/>
    </xf>
    <xf numFmtId="183" fontId="7" fillId="0" borderId="64" xfId="0" applyNumberFormat="1" applyFont="1" applyFill="1" applyBorder="1" applyAlignment="1" applyProtection="1">
      <alignment vertical="center"/>
      <protection locked="0"/>
    </xf>
    <xf numFmtId="179" fontId="7" fillId="0" borderId="65" xfId="0" applyNumberFormat="1" applyFont="1" applyFill="1" applyBorder="1" applyAlignment="1" applyProtection="1">
      <alignment vertical="center"/>
      <protection locked="0"/>
    </xf>
    <xf numFmtId="179" fontId="7" fillId="0" borderId="44" xfId="0" applyNumberFormat="1" applyFont="1" applyFill="1" applyBorder="1" applyAlignment="1">
      <alignment vertical="center"/>
    </xf>
    <xf numFmtId="182" fontId="7" fillId="0" borderId="44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2" borderId="52" xfId="0" applyNumberFormat="1" applyFont="1" applyFill="1" applyBorder="1" applyAlignment="1" applyProtection="1">
      <alignment vertical="center"/>
      <protection/>
    </xf>
    <xf numFmtId="183" fontId="7" fillId="0" borderId="52" xfId="0" applyNumberFormat="1" applyFont="1" applyFill="1" applyBorder="1" applyAlignment="1" applyProtection="1">
      <alignment vertical="center"/>
      <protection/>
    </xf>
    <xf numFmtId="183" fontId="7" fillId="2" borderId="66" xfId="0" applyNumberFormat="1" applyFont="1" applyFill="1" applyBorder="1" applyAlignment="1" applyProtection="1">
      <alignment vertical="center"/>
      <protection/>
    </xf>
    <xf numFmtId="183" fontId="7" fillId="2" borderId="41" xfId="0" applyNumberFormat="1" applyFont="1" applyFill="1" applyBorder="1" applyAlignment="1" applyProtection="1">
      <alignment vertical="center"/>
      <protection/>
    </xf>
    <xf numFmtId="183" fontId="7" fillId="0" borderId="66" xfId="0" applyNumberFormat="1" applyFont="1" applyFill="1" applyBorder="1" applyAlignment="1" applyProtection="1">
      <alignment vertical="center"/>
      <protection/>
    </xf>
    <xf numFmtId="183" fontId="7" fillId="0" borderId="23" xfId="0" applyNumberFormat="1" applyFont="1" applyFill="1" applyBorder="1" applyAlignment="1" applyProtection="1">
      <alignment vertical="center"/>
      <protection/>
    </xf>
    <xf numFmtId="183" fontId="7" fillId="0" borderId="33" xfId="0" applyNumberFormat="1" applyFont="1" applyFill="1" applyBorder="1" applyAlignment="1" applyProtection="1">
      <alignment vertical="center"/>
      <protection/>
    </xf>
    <xf numFmtId="179" fontId="7" fillId="0" borderId="34" xfId="0" applyNumberFormat="1" applyFont="1" applyFill="1" applyBorder="1" applyAlignment="1" applyProtection="1">
      <alignment vertical="center"/>
      <protection/>
    </xf>
    <xf numFmtId="183" fontId="7" fillId="0" borderId="67" xfId="0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183" fontId="7" fillId="0" borderId="33" xfId="0" applyNumberFormat="1" applyFont="1" applyFill="1" applyBorder="1" applyAlignment="1">
      <alignment vertical="center"/>
    </xf>
    <xf numFmtId="183" fontId="7" fillId="0" borderId="68" xfId="0" applyNumberFormat="1" applyFont="1" applyFill="1" applyBorder="1" applyAlignment="1" applyProtection="1">
      <alignment vertical="center"/>
      <protection locked="0"/>
    </xf>
    <xf numFmtId="179" fontId="7" fillId="0" borderId="69" xfId="0" applyNumberFormat="1" applyFont="1" applyFill="1" applyBorder="1" applyAlignment="1" applyProtection="1">
      <alignment vertical="center"/>
      <protection locked="0"/>
    </xf>
    <xf numFmtId="183" fontId="7" fillId="0" borderId="70" xfId="0" applyNumberFormat="1" applyFont="1" applyFill="1" applyBorder="1" applyAlignment="1" applyProtection="1">
      <alignment vertical="center"/>
      <protection locked="0"/>
    </xf>
    <xf numFmtId="183" fontId="7" fillId="0" borderId="24" xfId="0" applyNumberFormat="1" applyFont="1" applyFill="1" applyBorder="1" applyAlignment="1" applyProtection="1">
      <alignment vertical="center"/>
      <protection locked="0"/>
    </xf>
    <xf numFmtId="179" fontId="7" fillId="0" borderId="70" xfId="0" applyNumberFormat="1" applyFont="1" applyFill="1" applyBorder="1" applyAlignment="1" applyProtection="1">
      <alignment vertical="center"/>
      <protection locked="0"/>
    </xf>
    <xf numFmtId="179" fontId="7" fillId="0" borderId="24" xfId="0" applyNumberFormat="1" applyFont="1" applyFill="1" applyBorder="1" applyAlignment="1" applyProtection="1">
      <alignment vertical="center"/>
      <protection locked="0"/>
    </xf>
    <xf numFmtId="181" fontId="7" fillId="0" borderId="70" xfId="0" applyNumberFormat="1" applyFont="1" applyFill="1" applyBorder="1" applyAlignment="1" applyProtection="1">
      <alignment vertical="center"/>
      <protection locked="0"/>
    </xf>
    <xf numFmtId="179" fontId="7" fillId="0" borderId="71" xfId="0" applyNumberFormat="1" applyFont="1" applyFill="1" applyBorder="1" applyAlignment="1" applyProtection="1">
      <alignment vertical="center"/>
      <protection/>
    </xf>
    <xf numFmtId="181" fontId="7" fillId="0" borderId="24" xfId="0" applyNumberFormat="1" applyFont="1" applyFill="1" applyBorder="1" applyAlignment="1" applyProtection="1">
      <alignment vertical="center"/>
      <protection locked="0"/>
    </xf>
    <xf numFmtId="181" fontId="7" fillId="0" borderId="32" xfId="0" applyNumberFormat="1" applyFont="1" applyFill="1" applyBorder="1" applyAlignment="1" applyProtection="1">
      <alignment vertical="center"/>
      <protection locked="0"/>
    </xf>
    <xf numFmtId="182" fontId="7" fillId="0" borderId="69" xfId="0" applyNumberFormat="1" applyFont="1" applyFill="1" applyBorder="1" applyAlignment="1">
      <alignment vertical="center"/>
    </xf>
    <xf numFmtId="182" fontId="7" fillId="0" borderId="22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3" fontId="7" fillId="0" borderId="69" xfId="0" applyNumberFormat="1" applyFont="1" applyFill="1" applyBorder="1" applyAlignment="1">
      <alignment vertical="center"/>
    </xf>
    <xf numFmtId="183" fontId="7" fillId="0" borderId="22" xfId="0" applyNumberFormat="1" applyFont="1" applyFill="1" applyBorder="1" applyAlignment="1">
      <alignment vertical="center"/>
    </xf>
    <xf numFmtId="183" fontId="7" fillId="0" borderId="72" xfId="0" applyNumberFormat="1" applyFont="1" applyFill="1" applyBorder="1" applyAlignment="1">
      <alignment vertical="center"/>
    </xf>
    <xf numFmtId="183" fontId="7" fillId="0" borderId="35" xfId="0" applyNumberFormat="1" applyFont="1" applyFill="1" applyBorder="1" applyAlignment="1">
      <alignment vertical="center"/>
    </xf>
    <xf numFmtId="183" fontId="7" fillId="0" borderId="73" xfId="0" applyNumberFormat="1" applyFont="1" applyFill="1" applyBorder="1" applyAlignment="1">
      <alignment vertical="center"/>
    </xf>
    <xf numFmtId="179" fontId="7" fillId="0" borderId="56" xfId="0" applyNumberFormat="1" applyFont="1" applyFill="1" applyBorder="1" applyAlignment="1">
      <alignment vertical="center"/>
    </xf>
    <xf numFmtId="179" fontId="7" fillId="0" borderId="59" xfId="0" applyNumberFormat="1" applyFont="1" applyFill="1" applyBorder="1" applyAlignment="1">
      <alignment vertical="center"/>
    </xf>
    <xf numFmtId="181" fontId="7" fillId="0" borderId="63" xfId="0" applyNumberFormat="1" applyFont="1" applyFill="1" applyBorder="1" applyAlignment="1" applyProtection="1">
      <alignment vertical="center"/>
      <protection locked="0"/>
    </xf>
    <xf numFmtId="183" fontId="7" fillId="0" borderId="25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horizontal="right" vertical="center"/>
    </xf>
    <xf numFmtId="179" fontId="7" fillId="0" borderId="44" xfId="0" applyNumberFormat="1" applyFont="1" applyFill="1" applyBorder="1" applyAlignment="1">
      <alignment horizontal="right" vertical="center"/>
    </xf>
    <xf numFmtId="181" fontId="7" fillId="0" borderId="74" xfId="0" applyNumberFormat="1" applyFont="1" applyFill="1" applyBorder="1" applyAlignment="1">
      <alignment horizontal="center" vertical="center" wrapText="1"/>
    </xf>
    <xf numFmtId="181" fontId="7" fillId="0" borderId="75" xfId="0" applyNumberFormat="1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179" fontId="7" fillId="0" borderId="77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179" fontId="7" fillId="0" borderId="79" xfId="0" applyNumberFormat="1" applyFont="1" applyFill="1" applyBorder="1" applyAlignment="1">
      <alignment horizontal="center" vertical="center" wrapText="1"/>
    </xf>
    <xf numFmtId="179" fontId="7" fillId="0" borderId="80" xfId="0" applyNumberFormat="1" applyFont="1" applyFill="1" applyBorder="1" applyAlignment="1">
      <alignment horizontal="center" vertical="center" wrapText="1"/>
    </xf>
    <xf numFmtId="179" fontId="7" fillId="0" borderId="79" xfId="0" applyNumberFormat="1" applyFont="1" applyFill="1" applyBorder="1" applyAlignment="1">
      <alignment horizontal="center" vertical="center"/>
    </xf>
    <xf numFmtId="179" fontId="7" fillId="0" borderId="77" xfId="0" applyNumberFormat="1" applyFont="1" applyFill="1" applyBorder="1" applyAlignment="1">
      <alignment horizontal="center" vertical="center"/>
    </xf>
    <xf numFmtId="179" fontId="7" fillId="0" borderId="80" xfId="0" applyNumberFormat="1" applyFont="1" applyFill="1" applyBorder="1" applyAlignment="1">
      <alignment horizontal="center" vertical="center"/>
    </xf>
    <xf numFmtId="179" fontId="7" fillId="2" borderId="81" xfId="0" applyNumberFormat="1" applyFont="1" applyFill="1" applyBorder="1" applyAlignment="1">
      <alignment horizontal="center" vertical="center" wrapText="1"/>
    </xf>
    <xf numFmtId="179" fontId="7" fillId="2" borderId="77" xfId="0" applyNumberFormat="1" applyFont="1" applyFill="1" applyBorder="1" applyAlignment="1">
      <alignment horizontal="center" vertical="center" wrapText="1"/>
    </xf>
    <xf numFmtId="179" fontId="7" fillId="2" borderId="82" xfId="0" applyNumberFormat="1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179" fontId="7" fillId="2" borderId="81" xfId="0" applyNumberFormat="1" applyFont="1" applyFill="1" applyBorder="1" applyAlignment="1">
      <alignment horizontal="center" vertical="center"/>
    </xf>
    <xf numFmtId="179" fontId="7" fillId="2" borderId="77" xfId="0" applyNumberFormat="1" applyFont="1" applyFill="1" applyBorder="1" applyAlignment="1">
      <alignment horizontal="center" vertical="center"/>
    </xf>
    <xf numFmtId="179" fontId="7" fillId="2" borderId="82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179" fontId="7" fillId="0" borderId="81" xfId="0" applyNumberFormat="1" applyFont="1" applyFill="1" applyBorder="1" applyAlignment="1">
      <alignment horizontal="center" vertical="center" wrapText="1"/>
    </xf>
    <xf numFmtId="179" fontId="7" fillId="0" borderId="8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79" fontId="7" fillId="0" borderId="89" xfId="0" applyNumberFormat="1" applyFont="1" applyFill="1" applyBorder="1" applyAlignment="1">
      <alignment horizontal="center" vertical="center"/>
    </xf>
    <xf numFmtId="179" fontId="7" fillId="0" borderId="9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91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7" fillId="0" borderId="92" xfId="0" applyNumberFormat="1" applyFont="1" applyFill="1" applyBorder="1" applyAlignment="1">
      <alignment horizontal="center" vertical="center"/>
    </xf>
    <xf numFmtId="179" fontId="7" fillId="0" borderId="93" xfId="0" applyNumberFormat="1" applyFont="1" applyFill="1" applyBorder="1" applyAlignment="1">
      <alignment horizontal="center" vertical="center"/>
    </xf>
    <xf numFmtId="179" fontId="7" fillId="0" borderId="1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127"/>
  <sheetViews>
    <sheetView tabSelected="1" view="pageBreakPreview" zoomScale="125" zoomScaleSheetLayoutView="125" workbookViewId="0" topLeftCell="A1">
      <pane xSplit="2" ySplit="4" topLeftCell="C5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K126" sqref="K126"/>
    </sheetView>
  </sheetViews>
  <sheetFormatPr defaultColWidth="9.00390625" defaultRowHeight="9.75" customHeight="1"/>
  <cols>
    <col min="1" max="1" width="9.75390625" style="9" customWidth="1"/>
    <col min="2" max="2" width="4.125" style="9" customWidth="1"/>
    <col min="3" max="3" width="7.125" style="9" customWidth="1"/>
    <col min="4" max="4" width="6.625" style="9" customWidth="1"/>
    <col min="5" max="5" width="5.625" style="10" customWidth="1"/>
    <col min="6" max="6" width="6.125" style="9" customWidth="1"/>
    <col min="7" max="7" width="4.625" style="10" customWidth="1"/>
    <col min="8" max="8" width="5.625" style="9" customWidth="1"/>
    <col min="9" max="9" width="5.625" style="10" customWidth="1"/>
    <col min="10" max="10" width="6.125" style="9" customWidth="1"/>
    <col min="11" max="11" width="4.625" style="10" customWidth="1"/>
    <col min="12" max="14" width="6.125" style="9" customWidth="1"/>
    <col min="15" max="15" width="7.125" style="9" customWidth="1"/>
    <col min="16" max="17" width="5.625" style="9" customWidth="1"/>
    <col min="18" max="18" width="5.625" style="11" customWidth="1"/>
    <col min="19" max="19" width="5.625" style="9" customWidth="1"/>
    <col min="20" max="20" width="5.625" style="12" customWidth="1"/>
    <col min="21" max="21" width="5.625" style="10" customWidth="1"/>
    <col min="22" max="22" width="5.625" style="9" customWidth="1"/>
    <col min="23" max="23" width="4.625" style="10" customWidth="1"/>
    <col min="24" max="24" width="12.625" style="9" customWidth="1"/>
    <col min="25" max="27" width="11.625" style="9" customWidth="1"/>
    <col min="28" max="16384" width="9.00390625" style="9" customWidth="1"/>
  </cols>
  <sheetData>
    <row r="1" ht="15" customHeight="1" thickBot="1">
      <c r="A1" s="86" t="s">
        <v>107</v>
      </c>
    </row>
    <row r="2" spans="1:23" s="3" customFormat="1" ht="9.75" customHeight="1">
      <c r="A2" s="193"/>
      <c r="B2" s="194"/>
      <c r="C2" s="1"/>
      <c r="D2" s="1"/>
      <c r="E2" s="13"/>
      <c r="F2" s="183" t="s">
        <v>37</v>
      </c>
      <c r="G2" s="184"/>
      <c r="H2" s="184"/>
      <c r="I2" s="184"/>
      <c r="J2" s="184" t="s">
        <v>38</v>
      </c>
      <c r="K2" s="184"/>
      <c r="L2" s="184" t="s">
        <v>39</v>
      </c>
      <c r="M2" s="184"/>
      <c r="N2" s="184"/>
      <c r="O2" s="184"/>
      <c r="P2" s="1"/>
      <c r="Q2" s="2"/>
      <c r="R2" s="178" t="s">
        <v>40</v>
      </c>
      <c r="S2" s="179"/>
      <c r="T2" s="179"/>
      <c r="U2" s="14"/>
      <c r="V2" s="180" t="s">
        <v>0</v>
      </c>
      <c r="W2" s="181"/>
    </row>
    <row r="3" spans="1:23" s="3" customFormat="1" ht="30" customHeight="1">
      <c r="A3" s="195"/>
      <c r="B3" s="196"/>
      <c r="C3" s="4" t="s">
        <v>41</v>
      </c>
      <c r="D3" s="4" t="s">
        <v>42</v>
      </c>
      <c r="E3" s="15" t="s">
        <v>43</v>
      </c>
      <c r="F3" s="5" t="s">
        <v>44</v>
      </c>
      <c r="G3" s="16" t="s">
        <v>45</v>
      </c>
      <c r="H3" s="4" t="s">
        <v>46</v>
      </c>
      <c r="I3" s="16" t="s">
        <v>47</v>
      </c>
      <c r="J3" s="4" t="s">
        <v>44</v>
      </c>
      <c r="K3" s="16" t="s">
        <v>45</v>
      </c>
      <c r="L3" s="4" t="s">
        <v>48</v>
      </c>
      <c r="M3" s="4" t="s">
        <v>49</v>
      </c>
      <c r="N3" s="4" t="s">
        <v>50</v>
      </c>
      <c r="O3" s="4" t="s">
        <v>51</v>
      </c>
      <c r="P3" s="4" t="s">
        <v>52</v>
      </c>
      <c r="Q3" s="6" t="s">
        <v>53</v>
      </c>
      <c r="R3" s="7" t="s">
        <v>54</v>
      </c>
      <c r="S3" s="4" t="s">
        <v>55</v>
      </c>
      <c r="T3" s="8" t="s">
        <v>56</v>
      </c>
      <c r="U3" s="16" t="s">
        <v>57</v>
      </c>
      <c r="V3" s="4" t="s">
        <v>58</v>
      </c>
      <c r="W3" s="17" t="s">
        <v>59</v>
      </c>
    </row>
    <row r="4" spans="1:23" s="3" customFormat="1" ht="9.75" customHeight="1" thickBot="1">
      <c r="A4" s="197"/>
      <c r="B4" s="198"/>
      <c r="C4" s="97" t="s">
        <v>60</v>
      </c>
      <c r="D4" s="98" t="s">
        <v>61</v>
      </c>
      <c r="E4" s="99" t="s">
        <v>62</v>
      </c>
      <c r="F4" s="100" t="s">
        <v>63</v>
      </c>
      <c r="G4" s="102" t="s">
        <v>64</v>
      </c>
      <c r="H4" s="97" t="s">
        <v>65</v>
      </c>
      <c r="I4" s="102" t="s">
        <v>66</v>
      </c>
      <c r="J4" s="97" t="s">
        <v>67</v>
      </c>
      <c r="K4" s="102" t="s">
        <v>68</v>
      </c>
      <c r="L4" s="97"/>
      <c r="M4" s="97" t="s">
        <v>69</v>
      </c>
      <c r="N4" s="97"/>
      <c r="O4" s="97"/>
      <c r="P4" s="97"/>
      <c r="Q4" s="103"/>
      <c r="R4" s="104" t="s">
        <v>70</v>
      </c>
      <c r="S4" s="97" t="s">
        <v>71</v>
      </c>
      <c r="T4" s="105" t="s">
        <v>72</v>
      </c>
      <c r="U4" s="102" t="s">
        <v>73</v>
      </c>
      <c r="V4" s="98" t="s">
        <v>74</v>
      </c>
      <c r="W4" s="106" t="s">
        <v>75</v>
      </c>
    </row>
    <row r="5" spans="1:23" ht="9.75" customHeight="1">
      <c r="A5" s="199" t="s">
        <v>33</v>
      </c>
      <c r="B5" s="18" t="s">
        <v>34</v>
      </c>
      <c r="C5" s="19">
        <f>SUM(C17,C23,C35,C47,C74,C80,C86,C95,C110,C125,C56)</f>
        <v>502893</v>
      </c>
      <c r="D5" s="19">
        <f>SUM(D17,D23,D35,D47,D74,D80,D86,D95,D110,D125,D56)</f>
        <v>196648</v>
      </c>
      <c r="E5" s="143">
        <f aca="true" t="shared" si="0" ref="E5:E28">D5/C5*100</f>
        <v>39.10334802830821</v>
      </c>
      <c r="F5" s="19">
        <f>SUM(F17,F23,F35,F47,F74,F80,F86,F95,F110,F125,F56)</f>
        <v>46677</v>
      </c>
      <c r="G5" s="20">
        <f aca="true" t="shared" si="1" ref="G5:G28">F5/D5*100</f>
        <v>23.73632073552744</v>
      </c>
      <c r="H5" s="21">
        <f aca="true" t="shared" si="2" ref="H5:H10">SUM(L5:Q5)</f>
        <v>4146</v>
      </c>
      <c r="I5" s="22">
        <f aca="true" t="shared" si="3" ref="I5:I10">H5/F5*100</f>
        <v>8.882318915097372</v>
      </c>
      <c r="J5" s="21">
        <f aca="true" t="shared" si="4" ref="J5:J10">SUM(L5:O5)</f>
        <v>2438</v>
      </c>
      <c r="K5" s="22">
        <f aca="true" t="shared" si="5" ref="K5:K10">J5/H5*100</f>
        <v>58.80366618427399</v>
      </c>
      <c r="L5" s="19">
        <f aca="true" t="shared" si="6" ref="L5:Q6">SUM(L17,L23,L35,L47,L74,L80,L86,L95,L110,L125,L56)</f>
        <v>622</v>
      </c>
      <c r="M5" s="19">
        <f t="shared" si="6"/>
        <v>85</v>
      </c>
      <c r="N5" s="19">
        <f t="shared" si="6"/>
        <v>7</v>
      </c>
      <c r="O5" s="19">
        <f t="shared" si="6"/>
        <v>1724</v>
      </c>
      <c r="P5" s="19">
        <f t="shared" si="6"/>
        <v>808</v>
      </c>
      <c r="Q5" s="23">
        <f t="shared" si="6"/>
        <v>900</v>
      </c>
      <c r="R5" s="24">
        <f aca="true" t="shared" si="7" ref="R5:R10">M5/F5*100</f>
        <v>0.18210253443880284</v>
      </c>
      <c r="S5" s="19">
        <f>SUM(S17,S23,S35,S47,S74,S80,S86,S95,S110,S125,S56)</f>
        <v>54</v>
      </c>
      <c r="T5" s="25">
        <f aca="true" t="shared" si="8" ref="T5:T10">S5/F5*100</f>
        <v>0.1156886689375924</v>
      </c>
      <c r="U5" s="20">
        <f aca="true" t="shared" si="9" ref="U5:U10">M5/J5*100</f>
        <v>3.4864643150123054</v>
      </c>
      <c r="V5" s="19">
        <f>SUM(V17,V23,V35,V47,V74,V80,V86,V95,V110,V125,V56)</f>
        <v>8265</v>
      </c>
      <c r="W5" s="26">
        <f aca="true" t="shared" si="10" ref="W5:W10">V5/F5*100</f>
        <v>17.706793495725947</v>
      </c>
    </row>
    <row r="6" spans="1:23" ht="9.75" customHeight="1">
      <c r="A6" s="200"/>
      <c r="B6" s="27" t="s">
        <v>35</v>
      </c>
      <c r="C6" s="28">
        <f>SUM(C18,C24,C36,C48,C75,C81,C87,C96,C111,C126,C57)</f>
        <v>585653</v>
      </c>
      <c r="D6" s="28">
        <f>SUM(D18,D24,D36,D48,D75,D81,D87,D96,D111,D126,D57)</f>
        <v>344952</v>
      </c>
      <c r="E6" s="145">
        <f t="shared" si="0"/>
        <v>58.90040689623378</v>
      </c>
      <c r="F6" s="28">
        <f>SUM(F18,F24,F36,F48,F75,F81,F87,F96,F111,F126,F57)</f>
        <v>82465</v>
      </c>
      <c r="G6" s="29">
        <f t="shared" si="1"/>
        <v>23.906224634152</v>
      </c>
      <c r="H6" s="30">
        <f t="shared" si="2"/>
        <v>5639</v>
      </c>
      <c r="I6" s="31">
        <f t="shared" si="3"/>
        <v>6.838052507124234</v>
      </c>
      <c r="J6" s="30">
        <f t="shared" si="4"/>
        <v>3377</v>
      </c>
      <c r="K6" s="31">
        <f t="shared" si="5"/>
        <v>59.886504699414786</v>
      </c>
      <c r="L6" s="28">
        <f t="shared" si="6"/>
        <v>1249</v>
      </c>
      <c r="M6" s="28">
        <f t="shared" si="6"/>
        <v>92</v>
      </c>
      <c r="N6" s="28">
        <f t="shared" si="6"/>
        <v>14</v>
      </c>
      <c r="O6" s="28">
        <f t="shared" si="6"/>
        <v>2022</v>
      </c>
      <c r="P6" s="28">
        <f t="shared" si="6"/>
        <v>1194</v>
      </c>
      <c r="Q6" s="32">
        <f t="shared" si="6"/>
        <v>1068</v>
      </c>
      <c r="R6" s="33">
        <f t="shared" si="7"/>
        <v>0.11156248105256776</v>
      </c>
      <c r="S6" s="28">
        <f>SUM(S18,S24,S36,S48,S75,S81,S87,S96,S111,S126,S57)</f>
        <v>60</v>
      </c>
      <c r="T6" s="34">
        <f t="shared" si="8"/>
        <v>0.07275813981689201</v>
      </c>
      <c r="U6" s="29">
        <f t="shared" si="9"/>
        <v>2.7243115190997926</v>
      </c>
      <c r="V6" s="28">
        <f>SUM(V18,V24,V36,V48,V75,V81,V87,V96,V111,V126,V57)</f>
        <v>13557</v>
      </c>
      <c r="W6" s="35">
        <f t="shared" si="10"/>
        <v>16.43970169162675</v>
      </c>
    </row>
    <row r="7" spans="1:23" ht="9.75" customHeight="1" thickBot="1">
      <c r="A7" s="201"/>
      <c r="B7" s="36" t="s">
        <v>10</v>
      </c>
      <c r="C7" s="79">
        <f>SUM(C5:C6)</f>
        <v>1088546</v>
      </c>
      <c r="D7" s="79">
        <f>SUM(D5:D6)</f>
        <v>541600</v>
      </c>
      <c r="E7" s="146">
        <f t="shared" si="0"/>
        <v>49.75444308279117</v>
      </c>
      <c r="F7" s="79">
        <f>SUM(F5:F6)</f>
        <v>129142</v>
      </c>
      <c r="G7" s="38">
        <f t="shared" si="1"/>
        <v>23.84453471196455</v>
      </c>
      <c r="H7" s="37">
        <f t="shared" si="2"/>
        <v>9785</v>
      </c>
      <c r="I7" s="38">
        <f t="shared" si="3"/>
        <v>7.576930820337304</v>
      </c>
      <c r="J7" s="37">
        <f t="shared" si="4"/>
        <v>5815</v>
      </c>
      <c r="K7" s="38">
        <f t="shared" si="5"/>
        <v>59.42769545222279</v>
      </c>
      <c r="L7" s="79">
        <f aca="true" t="shared" si="11" ref="L7:Q7">SUM(L5:L6)</f>
        <v>1871</v>
      </c>
      <c r="M7" s="79">
        <f t="shared" si="11"/>
        <v>177</v>
      </c>
      <c r="N7" s="79">
        <f t="shared" si="11"/>
        <v>21</v>
      </c>
      <c r="O7" s="79">
        <f t="shared" si="11"/>
        <v>3746</v>
      </c>
      <c r="P7" s="79">
        <f t="shared" si="11"/>
        <v>2002</v>
      </c>
      <c r="Q7" s="80">
        <f t="shared" si="11"/>
        <v>1968</v>
      </c>
      <c r="R7" s="39">
        <f t="shared" si="7"/>
        <v>0.1370584318037509</v>
      </c>
      <c r="S7" s="79">
        <f>SUM(S5:S6)</f>
        <v>114</v>
      </c>
      <c r="T7" s="40">
        <f t="shared" si="8"/>
        <v>0.08827492217868703</v>
      </c>
      <c r="U7" s="38">
        <f t="shared" si="9"/>
        <v>3.0438521066208084</v>
      </c>
      <c r="V7" s="79">
        <f>SUM(V5:V6)</f>
        <v>21822</v>
      </c>
      <c r="W7" s="41">
        <f t="shared" si="10"/>
        <v>16.897678524414985</v>
      </c>
    </row>
    <row r="8" spans="1:23" ht="9.75" customHeight="1">
      <c r="A8" s="182" t="s">
        <v>117</v>
      </c>
      <c r="B8" s="42" t="s">
        <v>34</v>
      </c>
      <c r="C8" s="43">
        <v>161589</v>
      </c>
      <c r="D8" s="43">
        <v>66000</v>
      </c>
      <c r="E8" s="144">
        <f t="shared" si="0"/>
        <v>40.844364405992984</v>
      </c>
      <c r="F8" s="43">
        <v>14993</v>
      </c>
      <c r="G8" s="44">
        <f t="shared" si="1"/>
        <v>22.716666666666665</v>
      </c>
      <c r="H8" s="45">
        <f t="shared" si="2"/>
        <v>1495</v>
      </c>
      <c r="I8" s="46">
        <f t="shared" si="3"/>
        <v>9.971319949309677</v>
      </c>
      <c r="J8" s="45">
        <f t="shared" si="4"/>
        <v>616</v>
      </c>
      <c r="K8" s="46">
        <f t="shared" si="5"/>
        <v>41.20401337792642</v>
      </c>
      <c r="L8" s="43">
        <v>142</v>
      </c>
      <c r="M8" s="43">
        <v>27</v>
      </c>
      <c r="N8" s="43">
        <v>2</v>
      </c>
      <c r="O8" s="43">
        <v>445</v>
      </c>
      <c r="P8" s="43">
        <v>621</v>
      </c>
      <c r="Q8" s="47">
        <v>258</v>
      </c>
      <c r="R8" s="48">
        <f t="shared" si="7"/>
        <v>0.18008403921830188</v>
      </c>
      <c r="S8" s="43">
        <v>22</v>
      </c>
      <c r="T8" s="49">
        <f t="shared" si="8"/>
        <v>0.1467351430667645</v>
      </c>
      <c r="U8" s="44">
        <f t="shared" si="9"/>
        <v>4.383116883116883</v>
      </c>
      <c r="V8" s="43">
        <v>3246</v>
      </c>
      <c r="W8" s="50">
        <f t="shared" si="10"/>
        <v>21.65010338157807</v>
      </c>
    </row>
    <row r="9" spans="1:23" ht="9.75" customHeight="1">
      <c r="A9" s="182"/>
      <c r="B9" s="51" t="s">
        <v>35</v>
      </c>
      <c r="C9" s="52">
        <v>188408</v>
      </c>
      <c r="D9" s="52">
        <v>118000</v>
      </c>
      <c r="E9" s="147">
        <f t="shared" si="0"/>
        <v>62.63003694110654</v>
      </c>
      <c r="F9" s="52">
        <v>29626</v>
      </c>
      <c r="G9" s="53">
        <f t="shared" si="1"/>
        <v>25.106779661016947</v>
      </c>
      <c r="H9" s="54">
        <f t="shared" si="2"/>
        <v>2320</v>
      </c>
      <c r="I9" s="55">
        <f t="shared" si="3"/>
        <v>7.830959292513333</v>
      </c>
      <c r="J9" s="54">
        <f t="shared" si="4"/>
        <v>992</v>
      </c>
      <c r="K9" s="55">
        <f t="shared" si="5"/>
        <v>42.758620689655174</v>
      </c>
      <c r="L9" s="52">
        <v>346</v>
      </c>
      <c r="M9" s="52">
        <v>36</v>
      </c>
      <c r="N9" s="52">
        <v>7</v>
      </c>
      <c r="O9" s="52">
        <v>603</v>
      </c>
      <c r="P9" s="52">
        <v>950</v>
      </c>
      <c r="Q9" s="56">
        <v>378</v>
      </c>
      <c r="R9" s="57">
        <f t="shared" si="7"/>
        <v>0.12151488557348275</v>
      </c>
      <c r="S9" s="52">
        <v>29</v>
      </c>
      <c r="T9" s="58">
        <f t="shared" si="8"/>
        <v>0.09788699115641666</v>
      </c>
      <c r="U9" s="53">
        <f t="shared" si="9"/>
        <v>3.6290322580645165</v>
      </c>
      <c r="V9" s="52">
        <v>5853</v>
      </c>
      <c r="W9" s="59">
        <f t="shared" si="10"/>
        <v>19.756295146155402</v>
      </c>
    </row>
    <row r="10" spans="1:23" ht="9.75" customHeight="1">
      <c r="A10" s="186"/>
      <c r="B10" s="51" t="s">
        <v>36</v>
      </c>
      <c r="C10" s="60">
        <f>SUM(C8:C9)</f>
        <v>349997</v>
      </c>
      <c r="D10" s="60">
        <f>SUM(D8:D9)</f>
        <v>184000</v>
      </c>
      <c r="E10" s="149">
        <f t="shared" si="0"/>
        <v>52.5718791875359</v>
      </c>
      <c r="F10" s="60">
        <f>SUM(F8:F9)</f>
        <v>44619</v>
      </c>
      <c r="G10" s="62">
        <f t="shared" si="1"/>
        <v>24.24945652173913</v>
      </c>
      <c r="H10" s="63">
        <f t="shared" si="2"/>
        <v>3815</v>
      </c>
      <c r="I10" s="64">
        <f t="shared" si="3"/>
        <v>8.550169210426052</v>
      </c>
      <c r="J10" s="63">
        <f t="shared" si="4"/>
        <v>1608</v>
      </c>
      <c r="K10" s="64">
        <f t="shared" si="5"/>
        <v>42.14941022280472</v>
      </c>
      <c r="L10" s="60">
        <f aca="true" t="shared" si="12" ref="L10:Q10">SUM(L8:L9)</f>
        <v>488</v>
      </c>
      <c r="M10" s="60">
        <f t="shared" si="12"/>
        <v>63</v>
      </c>
      <c r="N10" s="60">
        <f t="shared" si="12"/>
        <v>9</v>
      </c>
      <c r="O10" s="60">
        <f t="shared" si="12"/>
        <v>1048</v>
      </c>
      <c r="P10" s="60">
        <f t="shared" si="12"/>
        <v>1571</v>
      </c>
      <c r="Q10" s="65">
        <f t="shared" si="12"/>
        <v>636</v>
      </c>
      <c r="R10" s="66">
        <f t="shared" si="7"/>
        <v>0.1411954548510724</v>
      </c>
      <c r="S10" s="60">
        <f>SUM(S8:S9)</f>
        <v>51</v>
      </c>
      <c r="T10" s="67">
        <f t="shared" si="8"/>
        <v>0.1143010824984872</v>
      </c>
      <c r="U10" s="62">
        <f t="shared" si="9"/>
        <v>3.9179104477611943</v>
      </c>
      <c r="V10" s="60">
        <f>SUM(V8:V9)</f>
        <v>9099</v>
      </c>
      <c r="W10" s="68">
        <f t="shared" si="10"/>
        <v>20.392657836347745</v>
      </c>
    </row>
    <row r="11" spans="1:23" ht="9.75" customHeight="1">
      <c r="A11" s="185" t="s">
        <v>118</v>
      </c>
      <c r="B11" s="69" t="s">
        <v>34</v>
      </c>
      <c r="C11" s="43">
        <v>2548</v>
      </c>
      <c r="D11" s="43">
        <v>847</v>
      </c>
      <c r="E11" s="148">
        <f t="shared" si="0"/>
        <v>33.24175824175824</v>
      </c>
      <c r="F11" s="43">
        <v>375</v>
      </c>
      <c r="G11" s="44">
        <f t="shared" si="1"/>
        <v>44.27390791027155</v>
      </c>
      <c r="H11" s="45">
        <f aca="true" t="shared" si="13" ref="H11:H16">SUM(L11:Q11)</f>
        <v>9</v>
      </c>
      <c r="I11" s="46">
        <f aca="true" t="shared" si="14" ref="I11:I16">H11/F11*100</f>
        <v>2.4</v>
      </c>
      <c r="J11" s="45">
        <f aca="true" t="shared" si="15" ref="J11:J16">SUM(L11:O11)</f>
        <v>8</v>
      </c>
      <c r="K11" s="46">
        <f aca="true" t="shared" si="16" ref="K11:K16">J11/H11*100</f>
        <v>88.88888888888889</v>
      </c>
      <c r="L11" s="43">
        <v>3</v>
      </c>
      <c r="M11" s="43">
        <v>0</v>
      </c>
      <c r="N11" s="43">
        <v>0</v>
      </c>
      <c r="O11" s="43">
        <v>5</v>
      </c>
      <c r="P11" s="43">
        <v>0</v>
      </c>
      <c r="Q11" s="47">
        <v>1</v>
      </c>
      <c r="R11" s="48">
        <f aca="true" t="shared" si="17" ref="R11:R16">M11/F11*100</f>
        <v>0</v>
      </c>
      <c r="S11" s="43">
        <v>0</v>
      </c>
      <c r="T11" s="49">
        <f aca="true" t="shared" si="18" ref="T11:T16">S11/F11*100</f>
        <v>0</v>
      </c>
      <c r="U11" s="44">
        <f aca="true" t="shared" si="19" ref="U11:U16">M11/J11*100</f>
        <v>0</v>
      </c>
      <c r="V11" s="43">
        <v>21</v>
      </c>
      <c r="W11" s="50">
        <f aca="true" t="shared" si="20" ref="W11:W16">V11/F11*100</f>
        <v>5.6000000000000005</v>
      </c>
    </row>
    <row r="12" spans="1:23" ht="9.75" customHeight="1">
      <c r="A12" s="182"/>
      <c r="B12" s="72" t="s">
        <v>35</v>
      </c>
      <c r="C12" s="52">
        <v>3169</v>
      </c>
      <c r="D12" s="52">
        <v>1407</v>
      </c>
      <c r="E12" s="147">
        <f t="shared" si="0"/>
        <v>44.398863994951085</v>
      </c>
      <c r="F12" s="52">
        <v>610</v>
      </c>
      <c r="G12" s="53">
        <f t="shared" si="1"/>
        <v>43.3546552949538</v>
      </c>
      <c r="H12" s="54">
        <f t="shared" si="13"/>
        <v>27</v>
      </c>
      <c r="I12" s="55">
        <f t="shared" si="14"/>
        <v>4.426229508196721</v>
      </c>
      <c r="J12" s="54">
        <f t="shared" si="15"/>
        <v>18</v>
      </c>
      <c r="K12" s="55">
        <f t="shared" si="16"/>
        <v>66.66666666666666</v>
      </c>
      <c r="L12" s="52">
        <v>3</v>
      </c>
      <c r="M12" s="52">
        <v>1</v>
      </c>
      <c r="N12" s="52">
        <v>0</v>
      </c>
      <c r="O12" s="52">
        <v>14</v>
      </c>
      <c r="P12" s="52">
        <v>0</v>
      </c>
      <c r="Q12" s="56">
        <v>9</v>
      </c>
      <c r="R12" s="57">
        <f t="shared" si="17"/>
        <v>0.16393442622950818</v>
      </c>
      <c r="S12" s="52">
        <v>0</v>
      </c>
      <c r="T12" s="58">
        <f t="shared" si="18"/>
        <v>0</v>
      </c>
      <c r="U12" s="53">
        <f t="shared" si="19"/>
        <v>5.555555555555555</v>
      </c>
      <c r="V12" s="52">
        <v>41</v>
      </c>
      <c r="W12" s="59">
        <f t="shared" si="20"/>
        <v>6.721311475409836</v>
      </c>
    </row>
    <row r="13" spans="1:23" ht="9.75" customHeight="1">
      <c r="A13" s="186"/>
      <c r="B13" s="51" t="s">
        <v>10</v>
      </c>
      <c r="C13" s="60">
        <f>SUM(C11:C12)</f>
        <v>5717</v>
      </c>
      <c r="D13" s="60">
        <f>SUM(D11:D12)</f>
        <v>2254</v>
      </c>
      <c r="E13" s="149">
        <f t="shared" si="0"/>
        <v>39.426272520552736</v>
      </c>
      <c r="F13" s="60">
        <f>SUM(F11:F12)</f>
        <v>985</v>
      </c>
      <c r="G13" s="62">
        <f t="shared" si="1"/>
        <v>43.70008873114463</v>
      </c>
      <c r="H13" s="63">
        <f t="shared" si="13"/>
        <v>36</v>
      </c>
      <c r="I13" s="64">
        <f t="shared" si="14"/>
        <v>3.654822335025381</v>
      </c>
      <c r="J13" s="63">
        <f t="shared" si="15"/>
        <v>26</v>
      </c>
      <c r="K13" s="64">
        <f t="shared" si="16"/>
        <v>72.22222222222221</v>
      </c>
      <c r="L13" s="60">
        <f aca="true" t="shared" si="21" ref="L13:Q13">SUM(L11:L12)</f>
        <v>6</v>
      </c>
      <c r="M13" s="60">
        <f t="shared" si="21"/>
        <v>1</v>
      </c>
      <c r="N13" s="60">
        <f t="shared" si="21"/>
        <v>0</v>
      </c>
      <c r="O13" s="60">
        <f t="shared" si="21"/>
        <v>19</v>
      </c>
      <c r="P13" s="60">
        <f t="shared" si="21"/>
        <v>0</v>
      </c>
      <c r="Q13" s="65">
        <f t="shared" si="21"/>
        <v>10</v>
      </c>
      <c r="R13" s="66">
        <f t="shared" si="17"/>
        <v>0.10152284263959391</v>
      </c>
      <c r="S13" s="60">
        <f>SUM(S11:S12)</f>
        <v>0</v>
      </c>
      <c r="T13" s="67">
        <f t="shared" si="18"/>
        <v>0</v>
      </c>
      <c r="U13" s="62">
        <f t="shared" si="19"/>
        <v>3.8461538461538463</v>
      </c>
      <c r="V13" s="60">
        <f>SUM(V11:V12)</f>
        <v>62</v>
      </c>
      <c r="W13" s="68">
        <f t="shared" si="20"/>
        <v>6.2944162436548226</v>
      </c>
    </row>
    <row r="14" spans="1:23" ht="9.75" customHeight="1">
      <c r="A14" s="185" t="s">
        <v>119</v>
      </c>
      <c r="B14" s="69" t="s">
        <v>34</v>
      </c>
      <c r="C14" s="43">
        <v>2026</v>
      </c>
      <c r="D14" s="43">
        <v>435</v>
      </c>
      <c r="E14" s="148">
        <f t="shared" si="0"/>
        <v>21.470878578479763</v>
      </c>
      <c r="F14" s="43">
        <v>257</v>
      </c>
      <c r="G14" s="44">
        <f t="shared" si="1"/>
        <v>59.08045977011495</v>
      </c>
      <c r="H14" s="45">
        <f t="shared" si="13"/>
        <v>24</v>
      </c>
      <c r="I14" s="46">
        <f t="shared" si="14"/>
        <v>9.33852140077821</v>
      </c>
      <c r="J14" s="45">
        <f t="shared" si="15"/>
        <v>16</v>
      </c>
      <c r="K14" s="46">
        <f t="shared" si="16"/>
        <v>66.66666666666666</v>
      </c>
      <c r="L14" s="43">
        <v>3</v>
      </c>
      <c r="M14" s="43">
        <v>1</v>
      </c>
      <c r="N14" s="43">
        <v>0</v>
      </c>
      <c r="O14" s="43">
        <v>12</v>
      </c>
      <c r="P14" s="43">
        <v>0</v>
      </c>
      <c r="Q14" s="47">
        <v>8</v>
      </c>
      <c r="R14" s="48">
        <f t="shared" si="17"/>
        <v>0.38910505836575876</v>
      </c>
      <c r="S14" s="43">
        <v>0</v>
      </c>
      <c r="T14" s="49">
        <f t="shared" si="18"/>
        <v>0</v>
      </c>
      <c r="U14" s="44">
        <f t="shared" si="19"/>
        <v>6.25</v>
      </c>
      <c r="V14" s="43">
        <v>21</v>
      </c>
      <c r="W14" s="50">
        <f t="shared" si="20"/>
        <v>8.171206225680933</v>
      </c>
    </row>
    <row r="15" spans="1:23" ht="9.75" customHeight="1">
      <c r="A15" s="182"/>
      <c r="B15" s="72" t="s">
        <v>35</v>
      </c>
      <c r="C15" s="52">
        <v>2453</v>
      </c>
      <c r="D15" s="52">
        <v>664</v>
      </c>
      <c r="E15" s="147">
        <f t="shared" si="0"/>
        <v>27.06889523033021</v>
      </c>
      <c r="F15" s="52">
        <v>398</v>
      </c>
      <c r="G15" s="53">
        <f t="shared" si="1"/>
        <v>59.93975903614458</v>
      </c>
      <c r="H15" s="54">
        <f t="shared" si="13"/>
        <v>15</v>
      </c>
      <c r="I15" s="55">
        <f t="shared" si="14"/>
        <v>3.7688442211055273</v>
      </c>
      <c r="J15" s="54">
        <f t="shared" si="15"/>
        <v>11</v>
      </c>
      <c r="K15" s="55">
        <f t="shared" si="16"/>
        <v>73.33333333333333</v>
      </c>
      <c r="L15" s="52">
        <v>4</v>
      </c>
      <c r="M15" s="52">
        <v>0</v>
      </c>
      <c r="N15" s="52">
        <v>0</v>
      </c>
      <c r="O15" s="52">
        <v>7</v>
      </c>
      <c r="P15" s="52">
        <v>0</v>
      </c>
      <c r="Q15" s="56">
        <v>4</v>
      </c>
      <c r="R15" s="57">
        <f t="shared" si="17"/>
        <v>0</v>
      </c>
      <c r="S15" s="52">
        <v>0</v>
      </c>
      <c r="T15" s="58">
        <f t="shared" si="18"/>
        <v>0</v>
      </c>
      <c r="U15" s="53">
        <f t="shared" si="19"/>
        <v>0</v>
      </c>
      <c r="V15" s="52">
        <v>25</v>
      </c>
      <c r="W15" s="59">
        <f t="shared" si="20"/>
        <v>6.281407035175879</v>
      </c>
    </row>
    <row r="16" spans="1:23" ht="9.75" customHeight="1" thickBot="1">
      <c r="A16" s="186"/>
      <c r="B16" s="51" t="s">
        <v>10</v>
      </c>
      <c r="C16" s="60">
        <f>SUM(C14:C15)</f>
        <v>4479</v>
      </c>
      <c r="D16" s="60">
        <f>SUM(D14:D15)</f>
        <v>1099</v>
      </c>
      <c r="E16" s="149">
        <f t="shared" si="0"/>
        <v>24.53672694797946</v>
      </c>
      <c r="F16" s="60">
        <f>SUM(F14:F15)</f>
        <v>655</v>
      </c>
      <c r="G16" s="62">
        <f t="shared" si="1"/>
        <v>59.599636032757054</v>
      </c>
      <c r="H16" s="63">
        <f t="shared" si="13"/>
        <v>39</v>
      </c>
      <c r="I16" s="64">
        <f t="shared" si="14"/>
        <v>5.9541984732824424</v>
      </c>
      <c r="J16" s="63">
        <f t="shared" si="15"/>
        <v>27</v>
      </c>
      <c r="K16" s="64">
        <f t="shared" si="16"/>
        <v>69.23076923076923</v>
      </c>
      <c r="L16" s="60">
        <f aca="true" t="shared" si="22" ref="L16:Q16">SUM(L14:L15)</f>
        <v>7</v>
      </c>
      <c r="M16" s="60">
        <f t="shared" si="22"/>
        <v>1</v>
      </c>
      <c r="N16" s="60">
        <f t="shared" si="22"/>
        <v>0</v>
      </c>
      <c r="O16" s="60">
        <f t="shared" si="22"/>
        <v>19</v>
      </c>
      <c r="P16" s="60">
        <f t="shared" si="22"/>
        <v>0</v>
      </c>
      <c r="Q16" s="65">
        <f t="shared" si="22"/>
        <v>12</v>
      </c>
      <c r="R16" s="66">
        <f t="shared" si="17"/>
        <v>0.15267175572519084</v>
      </c>
      <c r="S16" s="60">
        <f>SUM(S14:S15)</f>
        <v>0</v>
      </c>
      <c r="T16" s="67">
        <f t="shared" si="18"/>
        <v>0</v>
      </c>
      <c r="U16" s="62">
        <f t="shared" si="19"/>
        <v>3.7037037037037033</v>
      </c>
      <c r="V16" s="60">
        <f>SUM(V14:V15)</f>
        <v>46</v>
      </c>
      <c r="W16" s="68">
        <f t="shared" si="20"/>
        <v>7.022900763358779</v>
      </c>
    </row>
    <row r="17" spans="1:23" ht="9.75" customHeight="1">
      <c r="A17" s="190" t="s">
        <v>76</v>
      </c>
      <c r="B17" s="18" t="s">
        <v>34</v>
      </c>
      <c r="C17" s="19">
        <f>SUM(,C8,C11,C14,)</f>
        <v>166163</v>
      </c>
      <c r="D17" s="19">
        <f>SUM(,D8,D11,D14,)</f>
        <v>67282</v>
      </c>
      <c r="E17" s="143">
        <f t="shared" si="0"/>
        <v>40.49156551097416</v>
      </c>
      <c r="F17" s="19">
        <f>SUM(,F8,F11,F14,)</f>
        <v>15625</v>
      </c>
      <c r="G17" s="20">
        <f t="shared" si="1"/>
        <v>23.22315032252311</v>
      </c>
      <c r="H17" s="21">
        <f aca="true" t="shared" si="23" ref="H17:H28">SUM(L17:Q17)</f>
        <v>1528</v>
      </c>
      <c r="I17" s="22">
        <f aca="true" t="shared" si="24" ref="I17:I28">H17/F17*100</f>
        <v>9.779200000000001</v>
      </c>
      <c r="J17" s="21">
        <f aca="true" t="shared" si="25" ref="J17:J28">SUM(L17:O17)</f>
        <v>640</v>
      </c>
      <c r="K17" s="22">
        <f>J17/H17*100</f>
        <v>41.8848167539267</v>
      </c>
      <c r="L17" s="19">
        <f aca="true" t="shared" si="26" ref="L17:Q18">SUM(,L8,L11,L14,)</f>
        <v>148</v>
      </c>
      <c r="M17" s="19">
        <f t="shared" si="26"/>
        <v>28</v>
      </c>
      <c r="N17" s="19">
        <f t="shared" si="26"/>
        <v>2</v>
      </c>
      <c r="O17" s="19">
        <f t="shared" si="26"/>
        <v>462</v>
      </c>
      <c r="P17" s="19">
        <f t="shared" si="26"/>
        <v>621</v>
      </c>
      <c r="Q17" s="23">
        <f t="shared" si="26"/>
        <v>267</v>
      </c>
      <c r="R17" s="24">
        <f aca="true" t="shared" si="27" ref="R17:R28">M17/F17*100</f>
        <v>0.1792</v>
      </c>
      <c r="S17" s="19">
        <f>SUM(,S8,S11,S14,)</f>
        <v>22</v>
      </c>
      <c r="T17" s="25">
        <f aca="true" t="shared" si="28" ref="T17:T28">S17/F17*100</f>
        <v>0.1408</v>
      </c>
      <c r="U17" s="20">
        <f aca="true" t="shared" si="29" ref="U17:U28">M17/J17*100</f>
        <v>4.375</v>
      </c>
      <c r="V17" s="19">
        <f>SUM(,V8,V11,V14,)</f>
        <v>3288</v>
      </c>
      <c r="W17" s="26">
        <f aca="true" t="shared" si="30" ref="W17:W28">V17/F17*100</f>
        <v>21.043200000000002</v>
      </c>
    </row>
    <row r="18" spans="1:23" ht="9.75" customHeight="1">
      <c r="A18" s="191"/>
      <c r="B18" s="27" t="s">
        <v>35</v>
      </c>
      <c r="C18" s="28">
        <f>SUM(,C9,C12,C15,)</f>
        <v>194030</v>
      </c>
      <c r="D18" s="28">
        <f>SUM(,D9,D12,D15,)</f>
        <v>120071</v>
      </c>
      <c r="E18" s="145">
        <f t="shared" si="0"/>
        <v>61.882698551770346</v>
      </c>
      <c r="F18" s="28">
        <f>SUM(,F9,F12,F15,)</f>
        <v>30634</v>
      </c>
      <c r="G18" s="29">
        <f t="shared" si="1"/>
        <v>25.513238000849498</v>
      </c>
      <c r="H18" s="30">
        <f t="shared" si="23"/>
        <v>2362</v>
      </c>
      <c r="I18" s="31">
        <f t="shared" si="24"/>
        <v>7.710387151530979</v>
      </c>
      <c r="J18" s="30">
        <f t="shared" si="25"/>
        <v>1021</v>
      </c>
      <c r="K18" s="31">
        <f>J18/H18*100</f>
        <v>43.226079593564776</v>
      </c>
      <c r="L18" s="28">
        <f t="shared" si="26"/>
        <v>353</v>
      </c>
      <c r="M18" s="28">
        <f t="shared" si="26"/>
        <v>37</v>
      </c>
      <c r="N18" s="28">
        <f t="shared" si="26"/>
        <v>7</v>
      </c>
      <c r="O18" s="28">
        <f t="shared" si="26"/>
        <v>624</v>
      </c>
      <c r="P18" s="28">
        <f t="shared" si="26"/>
        <v>950</v>
      </c>
      <c r="Q18" s="32">
        <f t="shared" si="26"/>
        <v>391</v>
      </c>
      <c r="R18" s="33">
        <f t="shared" si="27"/>
        <v>0.12078083175556573</v>
      </c>
      <c r="S18" s="28">
        <f>SUM(,S9,S12,S15,)</f>
        <v>29</v>
      </c>
      <c r="T18" s="34">
        <f t="shared" si="28"/>
        <v>0.09466605732192988</v>
      </c>
      <c r="U18" s="29">
        <f t="shared" si="29"/>
        <v>3.623898139079334</v>
      </c>
      <c r="V18" s="28">
        <f>SUM(,V9,V12,V15,)</f>
        <v>5919</v>
      </c>
      <c r="W18" s="35">
        <f t="shared" si="30"/>
        <v>19.32166873408631</v>
      </c>
    </row>
    <row r="19" spans="1:23" ht="9.75" customHeight="1" thickBot="1">
      <c r="A19" s="192"/>
      <c r="B19" s="36" t="s">
        <v>10</v>
      </c>
      <c r="C19" s="79">
        <f>SUM(C17:C18)</f>
        <v>360193</v>
      </c>
      <c r="D19" s="79">
        <f>SUM(D17:D18)</f>
        <v>187353</v>
      </c>
      <c r="E19" s="146">
        <f t="shared" si="0"/>
        <v>52.01461438728682</v>
      </c>
      <c r="F19" s="79">
        <f>SUM(F17:F18)</f>
        <v>46259</v>
      </c>
      <c r="G19" s="38">
        <f t="shared" si="1"/>
        <v>24.690824272896617</v>
      </c>
      <c r="H19" s="37">
        <f t="shared" si="23"/>
        <v>3890</v>
      </c>
      <c r="I19" s="38">
        <f t="shared" si="24"/>
        <v>8.409174430921551</v>
      </c>
      <c r="J19" s="37">
        <f t="shared" si="25"/>
        <v>1661</v>
      </c>
      <c r="K19" s="38">
        <f>J19/H19*100</f>
        <v>42.69922879177378</v>
      </c>
      <c r="L19" s="79">
        <f aca="true" t="shared" si="31" ref="L19:Q19">SUM(L17:L18)</f>
        <v>501</v>
      </c>
      <c r="M19" s="79">
        <f t="shared" si="31"/>
        <v>65</v>
      </c>
      <c r="N19" s="79">
        <f t="shared" si="31"/>
        <v>9</v>
      </c>
      <c r="O19" s="79">
        <f t="shared" si="31"/>
        <v>1086</v>
      </c>
      <c r="P19" s="79">
        <f t="shared" si="31"/>
        <v>1571</v>
      </c>
      <c r="Q19" s="80">
        <f t="shared" si="31"/>
        <v>658</v>
      </c>
      <c r="R19" s="39">
        <f t="shared" si="27"/>
        <v>0.14051319743185112</v>
      </c>
      <c r="S19" s="79">
        <f>SUM(S17:S18)</f>
        <v>51</v>
      </c>
      <c r="T19" s="40">
        <f t="shared" si="28"/>
        <v>0.11024881644652931</v>
      </c>
      <c r="U19" s="38">
        <f t="shared" si="29"/>
        <v>3.9133052378085487</v>
      </c>
      <c r="V19" s="79">
        <f>SUM(V17:V18)</f>
        <v>9207</v>
      </c>
      <c r="W19" s="41">
        <f t="shared" si="30"/>
        <v>19.903153980846973</v>
      </c>
    </row>
    <row r="20" spans="1:23" ht="9.75" customHeight="1">
      <c r="A20" s="182" t="s">
        <v>108</v>
      </c>
      <c r="B20" s="42" t="s">
        <v>34</v>
      </c>
      <c r="C20" s="43">
        <v>117890</v>
      </c>
      <c r="D20" s="43">
        <v>42613</v>
      </c>
      <c r="E20" s="148">
        <f t="shared" si="0"/>
        <v>36.14640766816524</v>
      </c>
      <c r="F20" s="43">
        <v>6578</v>
      </c>
      <c r="G20" s="44">
        <f t="shared" si="1"/>
        <v>15.43660385328421</v>
      </c>
      <c r="H20" s="45">
        <f t="shared" si="23"/>
        <v>659</v>
      </c>
      <c r="I20" s="46">
        <f t="shared" si="24"/>
        <v>10.018242626938278</v>
      </c>
      <c r="J20" s="45">
        <f t="shared" si="25"/>
        <v>454</v>
      </c>
      <c r="K20" s="46">
        <f>J20/H20*100</f>
        <v>68.89226100151745</v>
      </c>
      <c r="L20" s="43">
        <v>137</v>
      </c>
      <c r="M20" s="43">
        <v>9</v>
      </c>
      <c r="N20" s="43">
        <v>0</v>
      </c>
      <c r="O20" s="43">
        <v>308</v>
      </c>
      <c r="P20" s="43">
        <v>60</v>
      </c>
      <c r="Q20" s="47">
        <v>145</v>
      </c>
      <c r="R20" s="48">
        <f t="shared" si="27"/>
        <v>0.13681970203709334</v>
      </c>
      <c r="S20" s="43">
        <v>6</v>
      </c>
      <c r="T20" s="49">
        <f t="shared" si="28"/>
        <v>0.09121313469139557</v>
      </c>
      <c r="U20" s="44">
        <f t="shared" si="29"/>
        <v>1.9823788546255507</v>
      </c>
      <c r="V20" s="43">
        <v>1410</v>
      </c>
      <c r="W20" s="50">
        <f t="shared" si="30"/>
        <v>21.43508665247796</v>
      </c>
    </row>
    <row r="21" spans="1:23" ht="9.75" customHeight="1">
      <c r="A21" s="182"/>
      <c r="B21" s="51" t="s">
        <v>35</v>
      </c>
      <c r="C21" s="52">
        <v>132200</v>
      </c>
      <c r="D21" s="52">
        <v>84636</v>
      </c>
      <c r="E21" s="147">
        <f t="shared" si="0"/>
        <v>64.02118003025718</v>
      </c>
      <c r="F21" s="52">
        <v>12506</v>
      </c>
      <c r="G21" s="53">
        <f t="shared" si="1"/>
        <v>14.776218157757928</v>
      </c>
      <c r="H21" s="54">
        <f t="shared" si="23"/>
        <v>890</v>
      </c>
      <c r="I21" s="55">
        <f t="shared" si="24"/>
        <v>7.116584039660963</v>
      </c>
      <c r="J21" s="54">
        <f t="shared" si="25"/>
        <v>639</v>
      </c>
      <c r="K21" s="55">
        <f>J21/H21*100</f>
        <v>71.79775280898878</v>
      </c>
      <c r="L21" s="52">
        <v>286</v>
      </c>
      <c r="M21" s="52">
        <v>16</v>
      </c>
      <c r="N21" s="52">
        <v>4</v>
      </c>
      <c r="O21" s="52">
        <v>333</v>
      </c>
      <c r="P21" s="52">
        <v>96</v>
      </c>
      <c r="Q21" s="56">
        <v>155</v>
      </c>
      <c r="R21" s="57">
        <f t="shared" si="27"/>
        <v>0.127938589477051</v>
      </c>
      <c r="S21" s="52">
        <v>12</v>
      </c>
      <c r="T21" s="58">
        <f t="shared" si="28"/>
        <v>0.09595394210778826</v>
      </c>
      <c r="U21" s="53">
        <f t="shared" si="29"/>
        <v>2.503912363067293</v>
      </c>
      <c r="V21" s="52">
        <v>2494</v>
      </c>
      <c r="W21" s="59">
        <f t="shared" si="30"/>
        <v>19.942427634735328</v>
      </c>
    </row>
    <row r="22" spans="1:23" ht="9.75" customHeight="1" thickBot="1">
      <c r="A22" s="182"/>
      <c r="B22" s="69" t="s">
        <v>10</v>
      </c>
      <c r="C22" s="70">
        <f>SUM(C20:C21)</f>
        <v>250090</v>
      </c>
      <c r="D22" s="70">
        <f>SUM(D20:D21)</f>
        <v>127249</v>
      </c>
      <c r="E22" s="149">
        <f t="shared" si="0"/>
        <v>50.88128273821424</v>
      </c>
      <c r="F22" s="70">
        <f>SUM(F20:F21)</f>
        <v>19084</v>
      </c>
      <c r="G22" s="62">
        <f t="shared" si="1"/>
        <v>14.997367366344724</v>
      </c>
      <c r="H22" s="63">
        <f t="shared" si="23"/>
        <v>1549</v>
      </c>
      <c r="I22" s="64">
        <f t="shared" si="24"/>
        <v>8.11674701320478</v>
      </c>
      <c r="J22" s="63">
        <f t="shared" si="25"/>
        <v>1093</v>
      </c>
      <c r="K22" s="64">
        <f>J22/H22*100</f>
        <v>70.56165267914784</v>
      </c>
      <c r="L22" s="70">
        <f aca="true" t="shared" si="32" ref="L22:Q22">SUM(L20:L21)</f>
        <v>423</v>
      </c>
      <c r="M22" s="70">
        <f t="shared" si="32"/>
        <v>25</v>
      </c>
      <c r="N22" s="70">
        <f t="shared" si="32"/>
        <v>4</v>
      </c>
      <c r="O22" s="70">
        <f t="shared" si="32"/>
        <v>641</v>
      </c>
      <c r="P22" s="70">
        <f t="shared" si="32"/>
        <v>156</v>
      </c>
      <c r="Q22" s="71">
        <f t="shared" si="32"/>
        <v>300</v>
      </c>
      <c r="R22" s="66">
        <f t="shared" si="27"/>
        <v>0.13099979040033535</v>
      </c>
      <c r="S22" s="70">
        <f>SUM(S20:S21)</f>
        <v>18</v>
      </c>
      <c r="T22" s="67">
        <f t="shared" si="28"/>
        <v>0.09431984908824145</v>
      </c>
      <c r="U22" s="62">
        <f t="shared" si="29"/>
        <v>2.2872827081427265</v>
      </c>
      <c r="V22" s="70">
        <f>SUM(V20:V21)</f>
        <v>3904</v>
      </c>
      <c r="W22" s="68">
        <f t="shared" si="30"/>
        <v>20.45692726891637</v>
      </c>
    </row>
    <row r="23" spans="1:23" ht="9.75" customHeight="1">
      <c r="A23" s="190" t="s">
        <v>77</v>
      </c>
      <c r="B23" s="18" t="s">
        <v>34</v>
      </c>
      <c r="C23" s="19">
        <f>C20</f>
        <v>117890</v>
      </c>
      <c r="D23" s="19">
        <f>D20</f>
        <v>42613</v>
      </c>
      <c r="E23" s="143">
        <f t="shared" si="0"/>
        <v>36.14640766816524</v>
      </c>
      <c r="F23" s="19">
        <f>F20</f>
        <v>6578</v>
      </c>
      <c r="G23" s="20">
        <f t="shared" si="1"/>
        <v>15.43660385328421</v>
      </c>
      <c r="H23" s="21">
        <f t="shared" si="23"/>
        <v>659</v>
      </c>
      <c r="I23" s="22">
        <f t="shared" si="24"/>
        <v>10.018242626938278</v>
      </c>
      <c r="J23" s="21">
        <f t="shared" si="25"/>
        <v>454</v>
      </c>
      <c r="K23" s="22">
        <f>J23/H23*100</f>
        <v>68.89226100151745</v>
      </c>
      <c r="L23" s="19">
        <f aca="true" t="shared" si="33" ref="L23:Q24">L20</f>
        <v>137</v>
      </c>
      <c r="M23" s="19">
        <f t="shared" si="33"/>
        <v>9</v>
      </c>
      <c r="N23" s="19">
        <f t="shared" si="33"/>
        <v>0</v>
      </c>
      <c r="O23" s="19">
        <f t="shared" si="33"/>
        <v>308</v>
      </c>
      <c r="P23" s="19">
        <f t="shared" si="33"/>
        <v>60</v>
      </c>
      <c r="Q23" s="23">
        <f t="shared" si="33"/>
        <v>145</v>
      </c>
      <c r="R23" s="24">
        <f t="shared" si="27"/>
        <v>0.13681970203709334</v>
      </c>
      <c r="S23" s="19">
        <f>S20</f>
        <v>6</v>
      </c>
      <c r="T23" s="25">
        <f t="shared" si="28"/>
        <v>0.09121313469139557</v>
      </c>
      <c r="U23" s="20">
        <f t="shared" si="29"/>
        <v>1.9823788546255507</v>
      </c>
      <c r="V23" s="19">
        <f>V20</f>
        <v>1410</v>
      </c>
      <c r="W23" s="26">
        <f t="shared" si="30"/>
        <v>21.43508665247796</v>
      </c>
    </row>
    <row r="24" spans="1:23" ht="9.75" customHeight="1">
      <c r="A24" s="191"/>
      <c r="B24" s="27" t="s">
        <v>35</v>
      </c>
      <c r="C24" s="28">
        <f>C21</f>
        <v>132200</v>
      </c>
      <c r="D24" s="28">
        <f>D21</f>
        <v>84636</v>
      </c>
      <c r="E24" s="145">
        <f t="shared" si="0"/>
        <v>64.02118003025718</v>
      </c>
      <c r="F24" s="28">
        <f>F21</f>
        <v>12506</v>
      </c>
      <c r="G24" s="29">
        <f t="shared" si="1"/>
        <v>14.776218157757928</v>
      </c>
      <c r="H24" s="30">
        <f t="shared" si="23"/>
        <v>890</v>
      </c>
      <c r="I24" s="31">
        <f t="shared" si="24"/>
        <v>7.116584039660963</v>
      </c>
      <c r="J24" s="30">
        <f t="shared" si="25"/>
        <v>639</v>
      </c>
      <c r="K24" s="31">
        <f>J24/H24*100</f>
        <v>71.79775280898878</v>
      </c>
      <c r="L24" s="28">
        <f t="shared" si="33"/>
        <v>286</v>
      </c>
      <c r="M24" s="28">
        <f t="shared" si="33"/>
        <v>16</v>
      </c>
      <c r="N24" s="28">
        <f t="shared" si="33"/>
        <v>4</v>
      </c>
      <c r="O24" s="28">
        <f t="shared" si="33"/>
        <v>333</v>
      </c>
      <c r="P24" s="28">
        <f t="shared" si="33"/>
        <v>96</v>
      </c>
      <c r="Q24" s="32">
        <f t="shared" si="33"/>
        <v>155</v>
      </c>
      <c r="R24" s="33">
        <f t="shared" si="27"/>
        <v>0.127938589477051</v>
      </c>
      <c r="S24" s="28">
        <f>S21</f>
        <v>12</v>
      </c>
      <c r="T24" s="34">
        <f t="shared" si="28"/>
        <v>0.09595394210778826</v>
      </c>
      <c r="U24" s="29">
        <f t="shared" si="29"/>
        <v>2.503912363067293</v>
      </c>
      <c r="V24" s="28">
        <f>V21</f>
        <v>2494</v>
      </c>
      <c r="W24" s="35">
        <f t="shared" si="30"/>
        <v>19.942427634735328</v>
      </c>
    </row>
    <row r="25" spans="1:23" ht="9.75" customHeight="1" thickBot="1">
      <c r="A25" s="192"/>
      <c r="B25" s="36" t="s">
        <v>10</v>
      </c>
      <c r="C25" s="79">
        <f>SUM(C23:C24)</f>
        <v>250090</v>
      </c>
      <c r="D25" s="79">
        <f>SUM(D23:D24)</f>
        <v>127249</v>
      </c>
      <c r="E25" s="146">
        <f t="shared" si="0"/>
        <v>50.88128273821424</v>
      </c>
      <c r="F25" s="79">
        <f>SUM(F23:F24)</f>
        <v>19084</v>
      </c>
      <c r="G25" s="38">
        <f t="shared" si="1"/>
        <v>14.997367366344724</v>
      </c>
      <c r="H25" s="37">
        <f t="shared" si="23"/>
        <v>1549</v>
      </c>
      <c r="I25" s="38">
        <f t="shared" si="24"/>
        <v>8.11674701320478</v>
      </c>
      <c r="J25" s="37">
        <f t="shared" si="25"/>
        <v>1093</v>
      </c>
      <c r="K25" s="38">
        <f>J25/H25*100</f>
        <v>70.56165267914784</v>
      </c>
      <c r="L25" s="79">
        <f aca="true" t="shared" si="34" ref="L25:Q25">SUM(L23:L24)</f>
        <v>423</v>
      </c>
      <c r="M25" s="79">
        <f t="shared" si="34"/>
        <v>25</v>
      </c>
      <c r="N25" s="79">
        <f t="shared" si="34"/>
        <v>4</v>
      </c>
      <c r="O25" s="79">
        <f t="shared" si="34"/>
        <v>641</v>
      </c>
      <c r="P25" s="79">
        <f t="shared" si="34"/>
        <v>156</v>
      </c>
      <c r="Q25" s="80">
        <f t="shared" si="34"/>
        <v>300</v>
      </c>
      <c r="R25" s="39">
        <f t="shared" si="27"/>
        <v>0.13099979040033535</v>
      </c>
      <c r="S25" s="79">
        <f>SUM(S23:S24)</f>
        <v>18</v>
      </c>
      <c r="T25" s="40">
        <f t="shared" si="28"/>
        <v>0.09431984908824145</v>
      </c>
      <c r="U25" s="38">
        <f t="shared" si="29"/>
        <v>2.2872827081427265</v>
      </c>
      <c r="V25" s="79">
        <f>SUM(V23:V24)</f>
        <v>3904</v>
      </c>
      <c r="W25" s="41">
        <f t="shared" si="30"/>
        <v>20.45692726891637</v>
      </c>
    </row>
    <row r="26" spans="1:23" ht="9.75" customHeight="1">
      <c r="A26" s="188" t="s">
        <v>15</v>
      </c>
      <c r="B26" s="42" t="s">
        <v>34</v>
      </c>
      <c r="C26" s="43">
        <v>18871</v>
      </c>
      <c r="D26" s="43">
        <v>7624</v>
      </c>
      <c r="E26" s="148">
        <f t="shared" si="0"/>
        <v>40.40061469980393</v>
      </c>
      <c r="F26" s="43">
        <v>1663</v>
      </c>
      <c r="G26" s="44">
        <f t="shared" si="1"/>
        <v>21.812696747114376</v>
      </c>
      <c r="H26" s="45">
        <f t="shared" si="23"/>
        <v>124</v>
      </c>
      <c r="I26" s="46">
        <f t="shared" si="24"/>
        <v>7.456404088995791</v>
      </c>
      <c r="J26" s="45">
        <f t="shared" si="25"/>
        <v>96</v>
      </c>
      <c r="K26" s="46">
        <f>J26/H26*100</f>
        <v>77.41935483870968</v>
      </c>
      <c r="L26" s="43">
        <v>25</v>
      </c>
      <c r="M26" s="43">
        <v>6</v>
      </c>
      <c r="N26" s="43">
        <v>0</v>
      </c>
      <c r="O26" s="43">
        <v>65</v>
      </c>
      <c r="P26" s="43">
        <v>15</v>
      </c>
      <c r="Q26" s="47">
        <v>13</v>
      </c>
      <c r="R26" s="48">
        <f t="shared" si="27"/>
        <v>0.3607937462417318</v>
      </c>
      <c r="S26" s="43">
        <v>4</v>
      </c>
      <c r="T26" s="49">
        <f t="shared" si="28"/>
        <v>0.24052916416115455</v>
      </c>
      <c r="U26" s="44">
        <f t="shared" si="29"/>
        <v>6.25</v>
      </c>
      <c r="V26" s="43">
        <v>483</v>
      </c>
      <c r="W26" s="50">
        <f t="shared" si="30"/>
        <v>29.04389657245941</v>
      </c>
    </row>
    <row r="27" spans="1:23" ht="9.75" customHeight="1">
      <c r="A27" s="188"/>
      <c r="B27" s="51" t="s">
        <v>35</v>
      </c>
      <c r="C27" s="52">
        <v>22085</v>
      </c>
      <c r="D27" s="52">
        <v>13659</v>
      </c>
      <c r="E27" s="147">
        <f t="shared" si="0"/>
        <v>61.84740774281187</v>
      </c>
      <c r="F27" s="52">
        <v>3158</v>
      </c>
      <c r="G27" s="53">
        <f t="shared" si="1"/>
        <v>23.12028699026283</v>
      </c>
      <c r="H27" s="54">
        <f t="shared" si="23"/>
        <v>170</v>
      </c>
      <c r="I27" s="55">
        <f t="shared" si="24"/>
        <v>5.383153894870171</v>
      </c>
      <c r="J27" s="54">
        <f t="shared" si="25"/>
        <v>142</v>
      </c>
      <c r="K27" s="55">
        <f>J27/H27*100</f>
        <v>83.52941176470588</v>
      </c>
      <c r="L27" s="52">
        <v>47</v>
      </c>
      <c r="M27" s="52">
        <v>2</v>
      </c>
      <c r="N27" s="52">
        <v>0</v>
      </c>
      <c r="O27" s="52">
        <v>93</v>
      </c>
      <c r="P27" s="52">
        <v>11</v>
      </c>
      <c r="Q27" s="56">
        <v>17</v>
      </c>
      <c r="R27" s="57">
        <f t="shared" si="27"/>
        <v>0.06333122229259025</v>
      </c>
      <c r="S27" s="52">
        <v>0</v>
      </c>
      <c r="T27" s="58">
        <f t="shared" si="28"/>
        <v>0</v>
      </c>
      <c r="U27" s="53">
        <f t="shared" si="29"/>
        <v>1.4084507042253522</v>
      </c>
      <c r="V27" s="52">
        <v>691</v>
      </c>
      <c r="W27" s="59">
        <f t="shared" si="30"/>
        <v>21.880937302089933</v>
      </c>
    </row>
    <row r="28" spans="1:23" ht="9.75" customHeight="1">
      <c r="A28" s="189"/>
      <c r="B28" s="51" t="s">
        <v>10</v>
      </c>
      <c r="C28" s="60">
        <f>SUM(C26:C27)</f>
        <v>40956</v>
      </c>
      <c r="D28" s="60">
        <f>SUM(D26:D27)</f>
        <v>21283</v>
      </c>
      <c r="E28" s="149">
        <f t="shared" si="0"/>
        <v>51.96552397695088</v>
      </c>
      <c r="F28" s="60">
        <f>SUM(F26:F27)</f>
        <v>4821</v>
      </c>
      <c r="G28" s="62">
        <f t="shared" si="1"/>
        <v>22.651881783583143</v>
      </c>
      <c r="H28" s="63">
        <f t="shared" si="23"/>
        <v>294</v>
      </c>
      <c r="I28" s="64">
        <f t="shared" si="24"/>
        <v>6.098319850653391</v>
      </c>
      <c r="J28" s="63">
        <f t="shared" si="25"/>
        <v>238</v>
      </c>
      <c r="K28" s="64">
        <f>J28/H28*100</f>
        <v>80.95238095238095</v>
      </c>
      <c r="L28" s="60">
        <f aca="true" t="shared" si="35" ref="L28:Q28">SUM(L26:L27)</f>
        <v>72</v>
      </c>
      <c r="M28" s="60">
        <f t="shared" si="35"/>
        <v>8</v>
      </c>
      <c r="N28" s="60">
        <f t="shared" si="35"/>
        <v>0</v>
      </c>
      <c r="O28" s="60">
        <f t="shared" si="35"/>
        <v>158</v>
      </c>
      <c r="P28" s="60">
        <f t="shared" si="35"/>
        <v>26</v>
      </c>
      <c r="Q28" s="65">
        <f t="shared" si="35"/>
        <v>30</v>
      </c>
      <c r="R28" s="66">
        <f t="shared" si="27"/>
        <v>0.16594067620825553</v>
      </c>
      <c r="S28" s="60">
        <f>SUM(S26:S27)</f>
        <v>4</v>
      </c>
      <c r="T28" s="67">
        <f t="shared" si="28"/>
        <v>0.08297033810412777</v>
      </c>
      <c r="U28" s="62">
        <f t="shared" si="29"/>
        <v>3.361344537815126</v>
      </c>
      <c r="V28" s="60">
        <f>SUM(V26:V27)</f>
        <v>1174</v>
      </c>
      <c r="W28" s="68">
        <f t="shared" si="30"/>
        <v>24.351794233561503</v>
      </c>
    </row>
    <row r="29" spans="1:23" ht="9.75" customHeight="1">
      <c r="A29" s="185" t="s">
        <v>109</v>
      </c>
      <c r="B29" s="69" t="s">
        <v>34</v>
      </c>
      <c r="C29" s="70">
        <v>10996</v>
      </c>
      <c r="D29" s="70">
        <v>5264</v>
      </c>
      <c r="E29" s="148">
        <f aca="true" t="shared" si="36" ref="E29:E34">D29/C29*100</f>
        <v>47.871953437613676</v>
      </c>
      <c r="F29" s="70">
        <v>1179</v>
      </c>
      <c r="G29" s="44">
        <f aca="true" t="shared" si="37" ref="G29:G34">F29/D29*100</f>
        <v>22.39741641337386</v>
      </c>
      <c r="H29" s="45">
        <f aca="true" t="shared" si="38" ref="H29:H34">SUM(L29:Q29)</f>
        <v>92</v>
      </c>
      <c r="I29" s="46">
        <f aca="true" t="shared" si="39" ref="I29:I34">H29/F29*100</f>
        <v>7.803223070398643</v>
      </c>
      <c r="J29" s="45">
        <f aca="true" t="shared" si="40" ref="J29:J34">SUM(L29:O29)</f>
        <v>79</v>
      </c>
      <c r="K29" s="46">
        <f aca="true" t="shared" si="41" ref="K29:K34">J29/H29*100</f>
        <v>85.86956521739131</v>
      </c>
      <c r="L29" s="70">
        <v>20</v>
      </c>
      <c r="M29" s="70">
        <v>6</v>
      </c>
      <c r="N29" s="70">
        <v>0</v>
      </c>
      <c r="O29" s="70">
        <v>53</v>
      </c>
      <c r="P29" s="70">
        <v>6</v>
      </c>
      <c r="Q29" s="71">
        <v>7</v>
      </c>
      <c r="R29" s="48">
        <f aca="true" t="shared" si="42" ref="R29:R34">M29/F29*100</f>
        <v>0.5089058524173028</v>
      </c>
      <c r="S29" s="70">
        <v>4</v>
      </c>
      <c r="T29" s="49">
        <f aca="true" t="shared" si="43" ref="T29:T34">S29/F29*100</f>
        <v>0.33927056827820185</v>
      </c>
      <c r="U29" s="44">
        <f aca="true" t="shared" si="44" ref="U29:U34">M29/J29*100</f>
        <v>7.59493670886076</v>
      </c>
      <c r="V29" s="70">
        <v>172</v>
      </c>
      <c r="W29" s="50">
        <f aca="true" t="shared" si="45" ref="W29:W34">V29/F29*100</f>
        <v>14.58863443596268</v>
      </c>
    </row>
    <row r="30" spans="1:23" ht="9.75" customHeight="1">
      <c r="A30" s="182"/>
      <c r="B30" s="72" t="s">
        <v>35</v>
      </c>
      <c r="C30" s="73">
        <v>12824</v>
      </c>
      <c r="D30" s="73">
        <v>8210</v>
      </c>
      <c r="E30" s="147">
        <f t="shared" si="36"/>
        <v>64.02058640049907</v>
      </c>
      <c r="F30" s="73">
        <v>1933</v>
      </c>
      <c r="G30" s="53">
        <f t="shared" si="37"/>
        <v>23.544457978075517</v>
      </c>
      <c r="H30" s="54">
        <f t="shared" si="38"/>
        <v>113</v>
      </c>
      <c r="I30" s="55">
        <f t="shared" si="39"/>
        <v>5.845835488877393</v>
      </c>
      <c r="J30" s="54">
        <f t="shared" si="40"/>
        <v>92</v>
      </c>
      <c r="K30" s="55">
        <f t="shared" si="41"/>
        <v>81.41592920353983</v>
      </c>
      <c r="L30" s="73">
        <v>39</v>
      </c>
      <c r="M30" s="73">
        <v>1</v>
      </c>
      <c r="N30" s="73">
        <v>0</v>
      </c>
      <c r="O30" s="73">
        <v>52</v>
      </c>
      <c r="P30" s="73">
        <v>15</v>
      </c>
      <c r="Q30" s="75">
        <v>6</v>
      </c>
      <c r="R30" s="57">
        <f t="shared" si="42"/>
        <v>0.05173305742369374</v>
      </c>
      <c r="S30" s="73">
        <v>0</v>
      </c>
      <c r="T30" s="58">
        <f t="shared" si="43"/>
        <v>0</v>
      </c>
      <c r="U30" s="53">
        <f t="shared" si="44"/>
        <v>1.0869565217391304</v>
      </c>
      <c r="V30" s="73">
        <v>335</v>
      </c>
      <c r="W30" s="59">
        <f t="shared" si="45"/>
        <v>17.3305742369374</v>
      </c>
    </row>
    <row r="31" spans="1:23" ht="9.75" customHeight="1">
      <c r="A31" s="186"/>
      <c r="B31" s="51" t="s">
        <v>10</v>
      </c>
      <c r="C31" s="60">
        <f>SUM(C29:C30)</f>
        <v>23820</v>
      </c>
      <c r="D31" s="60">
        <f>SUM(D29:D30)</f>
        <v>13474</v>
      </c>
      <c r="E31" s="149">
        <f t="shared" si="36"/>
        <v>56.56591099916037</v>
      </c>
      <c r="F31" s="60">
        <f>SUM(F29:F30)</f>
        <v>3112</v>
      </c>
      <c r="G31" s="62">
        <f t="shared" si="37"/>
        <v>23.096333679679383</v>
      </c>
      <c r="H31" s="63">
        <f t="shared" si="38"/>
        <v>205</v>
      </c>
      <c r="I31" s="64">
        <f t="shared" si="39"/>
        <v>6.587403598971722</v>
      </c>
      <c r="J31" s="63">
        <f t="shared" si="40"/>
        <v>171</v>
      </c>
      <c r="K31" s="64">
        <f t="shared" si="41"/>
        <v>83.41463414634146</v>
      </c>
      <c r="L31" s="60">
        <f aca="true" t="shared" si="46" ref="L31:Q31">SUM(L29:L30)</f>
        <v>59</v>
      </c>
      <c r="M31" s="60">
        <f t="shared" si="46"/>
        <v>7</v>
      </c>
      <c r="N31" s="60">
        <f t="shared" si="46"/>
        <v>0</v>
      </c>
      <c r="O31" s="60">
        <f t="shared" si="46"/>
        <v>105</v>
      </c>
      <c r="P31" s="60">
        <f t="shared" si="46"/>
        <v>21</v>
      </c>
      <c r="Q31" s="65">
        <f t="shared" si="46"/>
        <v>13</v>
      </c>
      <c r="R31" s="66">
        <f t="shared" si="42"/>
        <v>0.2249357326478149</v>
      </c>
      <c r="S31" s="60">
        <f>SUM(S29:S30)</f>
        <v>4</v>
      </c>
      <c r="T31" s="67">
        <f t="shared" si="43"/>
        <v>0.12853470437017994</v>
      </c>
      <c r="U31" s="62">
        <f t="shared" si="44"/>
        <v>4.093567251461988</v>
      </c>
      <c r="V31" s="60">
        <f>SUM(V29:V30)</f>
        <v>507</v>
      </c>
      <c r="W31" s="68">
        <f t="shared" si="45"/>
        <v>16.29177377892031</v>
      </c>
    </row>
    <row r="32" spans="1:23" ht="9.75" customHeight="1">
      <c r="A32" s="185" t="s">
        <v>110</v>
      </c>
      <c r="B32" s="42" t="s">
        <v>34</v>
      </c>
      <c r="C32" s="76">
        <v>4251</v>
      </c>
      <c r="D32" s="76">
        <v>2255</v>
      </c>
      <c r="E32" s="148">
        <f t="shared" si="36"/>
        <v>53.046342037167726</v>
      </c>
      <c r="F32" s="76">
        <v>483</v>
      </c>
      <c r="G32" s="44">
        <f t="shared" si="37"/>
        <v>21.41906873614191</v>
      </c>
      <c r="H32" s="45">
        <f t="shared" si="38"/>
        <v>45</v>
      </c>
      <c r="I32" s="46">
        <f t="shared" si="39"/>
        <v>9.316770186335404</v>
      </c>
      <c r="J32" s="45">
        <f t="shared" si="40"/>
        <v>45</v>
      </c>
      <c r="K32" s="46">
        <f t="shared" si="41"/>
        <v>100</v>
      </c>
      <c r="L32" s="76">
        <v>44</v>
      </c>
      <c r="M32" s="76">
        <v>1</v>
      </c>
      <c r="N32" s="76">
        <v>0</v>
      </c>
      <c r="O32" s="76">
        <v>0</v>
      </c>
      <c r="P32" s="76">
        <v>0</v>
      </c>
      <c r="Q32" s="78">
        <v>0</v>
      </c>
      <c r="R32" s="48">
        <f t="shared" si="42"/>
        <v>0.2070393374741201</v>
      </c>
      <c r="S32" s="76">
        <v>0</v>
      </c>
      <c r="T32" s="49">
        <f t="shared" si="43"/>
        <v>0</v>
      </c>
      <c r="U32" s="44">
        <f t="shared" si="44"/>
        <v>2.2222222222222223</v>
      </c>
      <c r="V32" s="76">
        <v>24</v>
      </c>
      <c r="W32" s="50">
        <f t="shared" si="45"/>
        <v>4.968944099378882</v>
      </c>
    </row>
    <row r="33" spans="1:23" ht="9.75" customHeight="1">
      <c r="A33" s="182"/>
      <c r="B33" s="51" t="s">
        <v>35</v>
      </c>
      <c r="C33" s="52">
        <v>5085</v>
      </c>
      <c r="D33" s="52">
        <v>3411</v>
      </c>
      <c r="E33" s="147">
        <f t="shared" si="36"/>
        <v>67.07964601769912</v>
      </c>
      <c r="F33" s="52">
        <v>697</v>
      </c>
      <c r="G33" s="53">
        <f t="shared" si="37"/>
        <v>20.433890354734682</v>
      </c>
      <c r="H33" s="54">
        <f t="shared" si="38"/>
        <v>37</v>
      </c>
      <c r="I33" s="55">
        <f t="shared" si="39"/>
        <v>5.308464849354376</v>
      </c>
      <c r="J33" s="54">
        <f t="shared" si="40"/>
        <v>37</v>
      </c>
      <c r="K33" s="55">
        <f t="shared" si="41"/>
        <v>100</v>
      </c>
      <c r="L33" s="52">
        <v>37</v>
      </c>
      <c r="M33" s="52">
        <v>0</v>
      </c>
      <c r="N33" s="52">
        <v>0</v>
      </c>
      <c r="O33" s="52">
        <v>0</v>
      </c>
      <c r="P33" s="52">
        <v>0</v>
      </c>
      <c r="Q33" s="56">
        <v>0</v>
      </c>
      <c r="R33" s="57">
        <f t="shared" si="42"/>
        <v>0</v>
      </c>
      <c r="S33" s="52">
        <v>0</v>
      </c>
      <c r="T33" s="58">
        <f t="shared" si="43"/>
        <v>0</v>
      </c>
      <c r="U33" s="53">
        <f t="shared" si="44"/>
        <v>0</v>
      </c>
      <c r="V33" s="52">
        <v>31</v>
      </c>
      <c r="W33" s="59">
        <f t="shared" si="45"/>
        <v>4.447632711621234</v>
      </c>
    </row>
    <row r="34" spans="1:23" ht="9.75" customHeight="1" thickBot="1">
      <c r="A34" s="182"/>
      <c r="B34" s="69" t="s">
        <v>10</v>
      </c>
      <c r="C34" s="70">
        <f>SUM(C32:C33)</f>
        <v>9336</v>
      </c>
      <c r="D34" s="70">
        <f>SUM(D32:D33)</f>
        <v>5666</v>
      </c>
      <c r="E34" s="149">
        <f t="shared" si="36"/>
        <v>60.68980291345329</v>
      </c>
      <c r="F34" s="70">
        <f>SUM(F32:F33)</f>
        <v>1180</v>
      </c>
      <c r="G34" s="62">
        <f t="shared" si="37"/>
        <v>20.825979527003177</v>
      </c>
      <c r="H34" s="63">
        <f t="shared" si="38"/>
        <v>82</v>
      </c>
      <c r="I34" s="64">
        <f t="shared" si="39"/>
        <v>6.9491525423728815</v>
      </c>
      <c r="J34" s="63">
        <f t="shared" si="40"/>
        <v>82</v>
      </c>
      <c r="K34" s="64">
        <f t="shared" si="41"/>
        <v>100</v>
      </c>
      <c r="L34" s="70">
        <f aca="true" t="shared" si="47" ref="L34:Q34">SUM(L32:L33)</f>
        <v>81</v>
      </c>
      <c r="M34" s="70">
        <f t="shared" si="47"/>
        <v>1</v>
      </c>
      <c r="N34" s="70">
        <f t="shared" si="47"/>
        <v>0</v>
      </c>
      <c r="O34" s="70">
        <f t="shared" si="47"/>
        <v>0</v>
      </c>
      <c r="P34" s="70">
        <f t="shared" si="47"/>
        <v>0</v>
      </c>
      <c r="Q34" s="71">
        <f t="shared" si="47"/>
        <v>0</v>
      </c>
      <c r="R34" s="66">
        <f t="shared" si="42"/>
        <v>0.0847457627118644</v>
      </c>
      <c r="S34" s="70">
        <f>SUM(S32:S33)</f>
        <v>0</v>
      </c>
      <c r="T34" s="67">
        <f t="shared" si="43"/>
        <v>0</v>
      </c>
      <c r="U34" s="62">
        <f t="shared" si="44"/>
        <v>1.2195121951219512</v>
      </c>
      <c r="V34" s="70">
        <f>SUM(V32:V33)</f>
        <v>55</v>
      </c>
      <c r="W34" s="68">
        <f t="shared" si="45"/>
        <v>4.661016949152542</v>
      </c>
    </row>
    <row r="35" spans="1:23" ht="9.75" customHeight="1">
      <c r="A35" s="190" t="s">
        <v>78</v>
      </c>
      <c r="B35" s="81" t="s">
        <v>34</v>
      </c>
      <c r="C35" s="19">
        <f>SUM(,C26,C29,C32,)</f>
        <v>34118</v>
      </c>
      <c r="D35" s="19">
        <f>SUM(,D26,D29,D32,)</f>
        <v>15143</v>
      </c>
      <c r="E35" s="143">
        <f aca="true" t="shared" si="48" ref="E35:E40">D35/C35*100</f>
        <v>44.38419602555836</v>
      </c>
      <c r="F35" s="19">
        <f>SUM(,F26,F29,F32,)</f>
        <v>3325</v>
      </c>
      <c r="G35" s="20">
        <f>F35/D35*100</f>
        <v>21.9573400250941</v>
      </c>
      <c r="H35" s="21">
        <f aca="true" t="shared" si="49" ref="H35:H40">SUM(L35:Q35)</f>
        <v>261</v>
      </c>
      <c r="I35" s="22">
        <f aca="true" t="shared" si="50" ref="I35:I40">H35/F35*100</f>
        <v>7.849624060150376</v>
      </c>
      <c r="J35" s="21">
        <f aca="true" t="shared" si="51" ref="J35:J40">SUM(L35:O35)</f>
        <v>220</v>
      </c>
      <c r="K35" s="22">
        <f>J35/H35*100</f>
        <v>84.2911877394636</v>
      </c>
      <c r="L35" s="19">
        <f aca="true" t="shared" si="52" ref="L35:Q36">SUM(,L26,L29,L32,)</f>
        <v>89</v>
      </c>
      <c r="M35" s="19">
        <f t="shared" si="52"/>
        <v>13</v>
      </c>
      <c r="N35" s="19">
        <f t="shared" si="52"/>
        <v>0</v>
      </c>
      <c r="O35" s="19">
        <f t="shared" si="52"/>
        <v>118</v>
      </c>
      <c r="P35" s="19">
        <f t="shared" si="52"/>
        <v>21</v>
      </c>
      <c r="Q35" s="23">
        <f t="shared" si="52"/>
        <v>20</v>
      </c>
      <c r="R35" s="24">
        <f aca="true" t="shared" si="53" ref="R35:R40">M35/F35*100</f>
        <v>0.3909774436090226</v>
      </c>
      <c r="S35" s="19">
        <f>SUM(,S26,S29,S32,)</f>
        <v>8</v>
      </c>
      <c r="T35" s="25">
        <f aca="true" t="shared" si="54" ref="T35:T40">S35/F35*100</f>
        <v>0.24060150375939848</v>
      </c>
      <c r="U35" s="20">
        <f aca="true" t="shared" si="55" ref="U35:U40">M35/J35*100</f>
        <v>5.909090909090909</v>
      </c>
      <c r="V35" s="19">
        <f>SUM(,V26,V29,V32,)</f>
        <v>679</v>
      </c>
      <c r="W35" s="26">
        <f aca="true" t="shared" si="56" ref="W35:W40">V35/F35*100</f>
        <v>20.42105263157895</v>
      </c>
    </row>
    <row r="36" spans="1:23" ht="9.75" customHeight="1">
      <c r="A36" s="191"/>
      <c r="B36" s="82" t="s">
        <v>35</v>
      </c>
      <c r="C36" s="28">
        <f>SUM(,C27,C30,C33,)</f>
        <v>39994</v>
      </c>
      <c r="D36" s="28">
        <f>SUM(,D27,D30,D33,)</f>
        <v>25280</v>
      </c>
      <c r="E36" s="145">
        <f t="shared" si="48"/>
        <v>63.20948142221333</v>
      </c>
      <c r="F36" s="28">
        <f>SUM(,F27,F30,F33,)</f>
        <v>5788</v>
      </c>
      <c r="G36" s="29">
        <f>F36/D36*100</f>
        <v>22.895569620253163</v>
      </c>
      <c r="H36" s="30">
        <f t="shared" si="49"/>
        <v>320</v>
      </c>
      <c r="I36" s="31">
        <f t="shared" si="50"/>
        <v>5.5286800276434</v>
      </c>
      <c r="J36" s="30">
        <f t="shared" si="51"/>
        <v>271</v>
      </c>
      <c r="K36" s="31">
        <f>J36/H36*100</f>
        <v>84.6875</v>
      </c>
      <c r="L36" s="28">
        <f t="shared" si="52"/>
        <v>123</v>
      </c>
      <c r="M36" s="28">
        <f t="shared" si="52"/>
        <v>3</v>
      </c>
      <c r="N36" s="28">
        <f t="shared" si="52"/>
        <v>0</v>
      </c>
      <c r="O36" s="28">
        <f t="shared" si="52"/>
        <v>145</v>
      </c>
      <c r="P36" s="28">
        <f t="shared" si="52"/>
        <v>26</v>
      </c>
      <c r="Q36" s="32">
        <f t="shared" si="52"/>
        <v>23</v>
      </c>
      <c r="R36" s="33">
        <f t="shared" si="53"/>
        <v>0.051831375259156875</v>
      </c>
      <c r="S36" s="28">
        <f>SUM(,S27,S30,S33,)</f>
        <v>0</v>
      </c>
      <c r="T36" s="34">
        <f t="shared" si="54"/>
        <v>0</v>
      </c>
      <c r="U36" s="29">
        <f t="shared" si="55"/>
        <v>1.107011070110701</v>
      </c>
      <c r="V36" s="28">
        <f>SUM(,V27,V30,V33,)</f>
        <v>1057</v>
      </c>
      <c r="W36" s="35">
        <f t="shared" si="56"/>
        <v>18.261921216309606</v>
      </c>
    </row>
    <row r="37" spans="1:23" ht="9.75" customHeight="1" thickBot="1">
      <c r="A37" s="192"/>
      <c r="B37" s="36" t="s">
        <v>10</v>
      </c>
      <c r="C37" s="79">
        <f>SUM(C35:C36)</f>
        <v>74112</v>
      </c>
      <c r="D37" s="79">
        <f>SUM(D35:D36)</f>
        <v>40423</v>
      </c>
      <c r="E37" s="146">
        <f t="shared" si="48"/>
        <v>54.543123920552674</v>
      </c>
      <c r="F37" s="79">
        <f>SUM(F35:F36)</f>
        <v>9113</v>
      </c>
      <c r="G37" s="38">
        <f>F37/D37*100</f>
        <v>22.54409618286619</v>
      </c>
      <c r="H37" s="37">
        <f t="shared" si="49"/>
        <v>581</v>
      </c>
      <c r="I37" s="38">
        <f t="shared" si="50"/>
        <v>6.375507516734336</v>
      </c>
      <c r="J37" s="37">
        <f t="shared" si="51"/>
        <v>491</v>
      </c>
      <c r="K37" s="38">
        <f>J37/H37*100</f>
        <v>84.50946643717728</v>
      </c>
      <c r="L37" s="79">
        <f aca="true" t="shared" si="57" ref="L37:Q37">SUM(L35:L36)</f>
        <v>212</v>
      </c>
      <c r="M37" s="79">
        <f t="shared" si="57"/>
        <v>16</v>
      </c>
      <c r="N37" s="79">
        <f t="shared" si="57"/>
        <v>0</v>
      </c>
      <c r="O37" s="79">
        <f t="shared" si="57"/>
        <v>263</v>
      </c>
      <c r="P37" s="79">
        <f t="shared" si="57"/>
        <v>47</v>
      </c>
      <c r="Q37" s="80">
        <f t="shared" si="57"/>
        <v>43</v>
      </c>
      <c r="R37" s="39">
        <f t="shared" si="53"/>
        <v>0.17557335674311425</v>
      </c>
      <c r="S37" s="79">
        <f>SUM(S35:S36)</f>
        <v>8</v>
      </c>
      <c r="T37" s="40">
        <f t="shared" si="54"/>
        <v>0.08778667837155713</v>
      </c>
      <c r="U37" s="38">
        <f t="shared" si="55"/>
        <v>3.2586558044806515</v>
      </c>
      <c r="V37" s="79">
        <f>SUM(V35:V36)</f>
        <v>1736</v>
      </c>
      <c r="W37" s="41">
        <f t="shared" si="56"/>
        <v>19.04970920662789</v>
      </c>
    </row>
    <row r="38" spans="1:23" ht="9.75" customHeight="1">
      <c r="A38" s="188" t="s">
        <v>16</v>
      </c>
      <c r="B38" s="69" t="s">
        <v>34</v>
      </c>
      <c r="C38" s="83">
        <v>11188</v>
      </c>
      <c r="D38" s="83">
        <v>4860</v>
      </c>
      <c r="E38" s="148">
        <f t="shared" si="48"/>
        <v>43.43939935645334</v>
      </c>
      <c r="F38" s="83">
        <v>1180</v>
      </c>
      <c r="G38" s="44">
        <f aca="true" t="shared" si="58" ref="G38:G46">F38/D38*100</f>
        <v>24.279835390946502</v>
      </c>
      <c r="H38" s="45">
        <f t="shared" si="49"/>
        <v>99</v>
      </c>
      <c r="I38" s="46">
        <f t="shared" si="50"/>
        <v>8.389830508474576</v>
      </c>
      <c r="J38" s="45">
        <f t="shared" si="51"/>
        <v>76</v>
      </c>
      <c r="K38" s="46">
        <f>J38/H38*100</f>
        <v>76.76767676767676</v>
      </c>
      <c r="L38" s="83">
        <v>16</v>
      </c>
      <c r="M38" s="83">
        <v>1</v>
      </c>
      <c r="N38" s="83">
        <v>0</v>
      </c>
      <c r="O38" s="83">
        <v>59</v>
      </c>
      <c r="P38" s="83">
        <v>0</v>
      </c>
      <c r="Q38" s="84">
        <v>23</v>
      </c>
      <c r="R38" s="48">
        <f t="shared" si="53"/>
        <v>0.0847457627118644</v>
      </c>
      <c r="S38" s="83">
        <v>0</v>
      </c>
      <c r="T38" s="49">
        <f t="shared" si="54"/>
        <v>0</v>
      </c>
      <c r="U38" s="44">
        <f t="shared" si="55"/>
        <v>1.3157894736842104</v>
      </c>
      <c r="V38" s="83">
        <v>160</v>
      </c>
      <c r="W38" s="50">
        <f t="shared" si="56"/>
        <v>13.559322033898304</v>
      </c>
    </row>
    <row r="39" spans="1:23" ht="9.75" customHeight="1">
      <c r="A39" s="188"/>
      <c r="B39" s="72" t="s">
        <v>35</v>
      </c>
      <c r="C39" s="73">
        <v>13414</v>
      </c>
      <c r="D39" s="73">
        <v>8472</v>
      </c>
      <c r="E39" s="147">
        <f t="shared" si="48"/>
        <v>63.1578947368421</v>
      </c>
      <c r="F39" s="73">
        <v>2246</v>
      </c>
      <c r="G39" s="53">
        <f t="shared" si="58"/>
        <v>26.510859301227573</v>
      </c>
      <c r="H39" s="54">
        <f t="shared" si="49"/>
        <v>131</v>
      </c>
      <c r="I39" s="55">
        <f t="shared" si="50"/>
        <v>5.832591273374889</v>
      </c>
      <c r="J39" s="54">
        <f t="shared" si="51"/>
        <v>104</v>
      </c>
      <c r="K39" s="55">
        <f>J39/H39*100</f>
        <v>79.38931297709924</v>
      </c>
      <c r="L39" s="73">
        <v>21</v>
      </c>
      <c r="M39" s="73">
        <v>1</v>
      </c>
      <c r="N39" s="73">
        <v>1</v>
      </c>
      <c r="O39" s="73">
        <v>81</v>
      </c>
      <c r="P39" s="73">
        <v>0</v>
      </c>
      <c r="Q39" s="75">
        <v>27</v>
      </c>
      <c r="R39" s="57">
        <f t="shared" si="53"/>
        <v>0.04452359750667854</v>
      </c>
      <c r="S39" s="73">
        <v>1</v>
      </c>
      <c r="T39" s="58">
        <f t="shared" si="54"/>
        <v>0.04452359750667854</v>
      </c>
      <c r="U39" s="53">
        <f t="shared" si="55"/>
        <v>0.9615384615384616</v>
      </c>
      <c r="V39" s="73">
        <v>264</v>
      </c>
      <c r="W39" s="59">
        <f t="shared" si="56"/>
        <v>11.754229741763135</v>
      </c>
    </row>
    <row r="40" spans="1:23" ht="9.75" customHeight="1">
      <c r="A40" s="189"/>
      <c r="B40" s="51" t="s">
        <v>10</v>
      </c>
      <c r="C40" s="60">
        <f>SUM(C38:C39)</f>
        <v>24602</v>
      </c>
      <c r="D40" s="60">
        <f>SUM(D38:D39)</f>
        <v>13332</v>
      </c>
      <c r="E40" s="149">
        <f t="shared" si="48"/>
        <v>54.1907162019348</v>
      </c>
      <c r="F40" s="60">
        <f>SUM(F38:F39)</f>
        <v>3426</v>
      </c>
      <c r="G40" s="62">
        <f t="shared" si="58"/>
        <v>25.697569756975696</v>
      </c>
      <c r="H40" s="63">
        <f t="shared" si="49"/>
        <v>230</v>
      </c>
      <c r="I40" s="64">
        <f t="shared" si="50"/>
        <v>6.713368359603035</v>
      </c>
      <c r="J40" s="63">
        <f t="shared" si="51"/>
        <v>180</v>
      </c>
      <c r="K40" s="64">
        <f>J40/H40*100</f>
        <v>78.26086956521739</v>
      </c>
      <c r="L40" s="60">
        <f aca="true" t="shared" si="59" ref="L40:Q40">SUM(L38:L39)</f>
        <v>37</v>
      </c>
      <c r="M40" s="60">
        <f t="shared" si="59"/>
        <v>2</v>
      </c>
      <c r="N40" s="60">
        <f t="shared" si="59"/>
        <v>1</v>
      </c>
      <c r="O40" s="60">
        <f t="shared" si="59"/>
        <v>140</v>
      </c>
      <c r="P40" s="60">
        <f t="shared" si="59"/>
        <v>0</v>
      </c>
      <c r="Q40" s="65">
        <f t="shared" si="59"/>
        <v>50</v>
      </c>
      <c r="R40" s="66">
        <f t="shared" si="53"/>
        <v>0.05837711617046118</v>
      </c>
      <c r="S40" s="60">
        <f>SUM(S38:S39)</f>
        <v>1</v>
      </c>
      <c r="T40" s="67">
        <f t="shared" si="54"/>
        <v>0.02918855808523059</v>
      </c>
      <c r="U40" s="62">
        <f t="shared" si="55"/>
        <v>1.1111111111111112</v>
      </c>
      <c r="V40" s="60">
        <f>SUM(V38:V39)</f>
        <v>424</v>
      </c>
      <c r="W40" s="68">
        <f t="shared" si="56"/>
        <v>12.37594862813777</v>
      </c>
    </row>
    <row r="41" spans="1:23" ht="9.75" customHeight="1">
      <c r="A41" s="185" t="s">
        <v>111</v>
      </c>
      <c r="B41" s="42" t="s">
        <v>34</v>
      </c>
      <c r="C41" s="83">
        <v>12176</v>
      </c>
      <c r="D41" s="83">
        <v>2007</v>
      </c>
      <c r="E41" s="148">
        <f aca="true" t="shared" si="60" ref="E41:E46">D41/C41*100</f>
        <v>16.483245729303547</v>
      </c>
      <c r="F41" s="83">
        <v>1147</v>
      </c>
      <c r="G41" s="44">
        <f t="shared" si="58"/>
        <v>57.14997508719482</v>
      </c>
      <c r="H41" s="45">
        <f aca="true" t="shared" si="61" ref="H41:H46">SUM(L41:Q41)</f>
        <v>77</v>
      </c>
      <c r="I41" s="46">
        <f aca="true" t="shared" si="62" ref="I41:I46">H41/F41*100</f>
        <v>6.713164777680906</v>
      </c>
      <c r="J41" s="45">
        <f aca="true" t="shared" si="63" ref="J41:J46">SUM(L41:O41)</f>
        <v>66</v>
      </c>
      <c r="K41" s="46">
        <f aca="true" t="shared" si="64" ref="K41:K46">J41/H41*100</f>
        <v>85.71428571428571</v>
      </c>
      <c r="L41" s="83">
        <v>14</v>
      </c>
      <c r="M41" s="83">
        <v>5</v>
      </c>
      <c r="N41" s="83">
        <v>0</v>
      </c>
      <c r="O41" s="83">
        <v>47</v>
      </c>
      <c r="P41" s="83">
        <v>0</v>
      </c>
      <c r="Q41" s="84">
        <v>11</v>
      </c>
      <c r="R41" s="48">
        <f aca="true" t="shared" si="65" ref="R41:R46">M41/F41*100</f>
        <v>0.4359197907585004</v>
      </c>
      <c r="S41" s="83">
        <v>3</v>
      </c>
      <c r="T41" s="49">
        <f aca="true" t="shared" si="66" ref="T41:T46">S41/F41*100</f>
        <v>0.26155187445510025</v>
      </c>
      <c r="U41" s="44">
        <f aca="true" t="shared" si="67" ref="U41:U46">M41/J41*100</f>
        <v>7.575757575757576</v>
      </c>
      <c r="V41" s="83">
        <v>154</v>
      </c>
      <c r="W41" s="50">
        <f aca="true" t="shared" si="68" ref="W41:W46">V41/F41*100</f>
        <v>13.426329555361812</v>
      </c>
    </row>
    <row r="42" spans="1:23" ht="9.75" customHeight="1">
      <c r="A42" s="182"/>
      <c r="B42" s="51" t="s">
        <v>35</v>
      </c>
      <c r="C42" s="73">
        <v>14152</v>
      </c>
      <c r="D42" s="73">
        <v>3003</v>
      </c>
      <c r="E42" s="147">
        <f t="shared" si="60"/>
        <v>21.21961560203505</v>
      </c>
      <c r="F42" s="73">
        <v>1808</v>
      </c>
      <c r="G42" s="53">
        <f t="shared" si="58"/>
        <v>60.20646020646021</v>
      </c>
      <c r="H42" s="54">
        <f t="shared" si="61"/>
        <v>103</v>
      </c>
      <c r="I42" s="55">
        <f t="shared" si="62"/>
        <v>5.696902654867256</v>
      </c>
      <c r="J42" s="54">
        <f t="shared" si="63"/>
        <v>92</v>
      </c>
      <c r="K42" s="55">
        <f t="shared" si="64"/>
        <v>89.32038834951457</v>
      </c>
      <c r="L42" s="73">
        <v>31</v>
      </c>
      <c r="M42" s="73">
        <v>3</v>
      </c>
      <c r="N42" s="73">
        <v>0</v>
      </c>
      <c r="O42" s="73">
        <v>58</v>
      </c>
      <c r="P42" s="73">
        <v>1</v>
      </c>
      <c r="Q42" s="75">
        <v>10</v>
      </c>
      <c r="R42" s="57">
        <f t="shared" si="65"/>
        <v>0.16592920353982302</v>
      </c>
      <c r="S42" s="73">
        <v>3</v>
      </c>
      <c r="T42" s="58">
        <f t="shared" si="66"/>
        <v>0.16592920353982302</v>
      </c>
      <c r="U42" s="53">
        <f t="shared" si="67"/>
        <v>3.260869565217391</v>
      </c>
      <c r="V42" s="73">
        <v>227</v>
      </c>
      <c r="W42" s="59">
        <f t="shared" si="68"/>
        <v>12.555309734513273</v>
      </c>
    </row>
    <row r="43" spans="1:23" ht="9.75" customHeight="1">
      <c r="A43" s="186"/>
      <c r="B43" s="51" t="s">
        <v>10</v>
      </c>
      <c r="C43" s="60">
        <f>SUM(C41:C42)</f>
        <v>26328</v>
      </c>
      <c r="D43" s="60">
        <f>SUM(D41:D42)</f>
        <v>5010</v>
      </c>
      <c r="E43" s="149">
        <f t="shared" si="60"/>
        <v>19.029170464904286</v>
      </c>
      <c r="F43" s="60">
        <f>SUM(F41:F42)</f>
        <v>2955</v>
      </c>
      <c r="G43" s="62">
        <f t="shared" si="58"/>
        <v>58.982035928143716</v>
      </c>
      <c r="H43" s="63">
        <f t="shared" si="61"/>
        <v>180</v>
      </c>
      <c r="I43" s="64">
        <f t="shared" si="62"/>
        <v>6.091370558375635</v>
      </c>
      <c r="J43" s="63">
        <f t="shared" si="63"/>
        <v>158</v>
      </c>
      <c r="K43" s="64">
        <f t="shared" si="64"/>
        <v>87.77777777777777</v>
      </c>
      <c r="L43" s="60">
        <f aca="true" t="shared" si="69" ref="L43:Q43">SUM(L41:L42)</f>
        <v>45</v>
      </c>
      <c r="M43" s="60">
        <f t="shared" si="69"/>
        <v>8</v>
      </c>
      <c r="N43" s="60">
        <f t="shared" si="69"/>
        <v>0</v>
      </c>
      <c r="O43" s="60">
        <f t="shared" si="69"/>
        <v>105</v>
      </c>
      <c r="P43" s="60">
        <f t="shared" si="69"/>
        <v>1</v>
      </c>
      <c r="Q43" s="65">
        <f t="shared" si="69"/>
        <v>21</v>
      </c>
      <c r="R43" s="66">
        <f t="shared" si="65"/>
        <v>0.2707275803722504</v>
      </c>
      <c r="S43" s="60">
        <f>SUM(S41:S42)</f>
        <v>6</v>
      </c>
      <c r="T43" s="67">
        <f t="shared" si="66"/>
        <v>0.20304568527918782</v>
      </c>
      <c r="U43" s="62">
        <f t="shared" si="67"/>
        <v>5.063291139240507</v>
      </c>
      <c r="V43" s="60">
        <f>SUM(V41:V42)</f>
        <v>381</v>
      </c>
      <c r="W43" s="68">
        <f t="shared" si="68"/>
        <v>12.893401015228426</v>
      </c>
    </row>
    <row r="44" spans="1:23" ht="9.75" customHeight="1">
      <c r="A44" s="187" t="s">
        <v>17</v>
      </c>
      <c r="B44" s="42" t="s">
        <v>34</v>
      </c>
      <c r="C44" s="83">
        <v>4539</v>
      </c>
      <c r="D44" s="83">
        <v>2097</v>
      </c>
      <c r="E44" s="148">
        <f t="shared" si="60"/>
        <v>46.19960343688037</v>
      </c>
      <c r="F44" s="83">
        <v>660</v>
      </c>
      <c r="G44" s="44">
        <f t="shared" si="58"/>
        <v>31.47353361945637</v>
      </c>
      <c r="H44" s="45">
        <f t="shared" si="61"/>
        <v>42</v>
      </c>
      <c r="I44" s="46">
        <f t="shared" si="62"/>
        <v>6.363636363636363</v>
      </c>
      <c r="J44" s="45">
        <f t="shared" si="63"/>
        <v>34</v>
      </c>
      <c r="K44" s="46">
        <f t="shared" si="64"/>
        <v>80.95238095238095</v>
      </c>
      <c r="L44" s="83">
        <v>8</v>
      </c>
      <c r="M44" s="83">
        <v>0</v>
      </c>
      <c r="N44" s="83">
        <v>0</v>
      </c>
      <c r="O44" s="83">
        <v>26</v>
      </c>
      <c r="P44" s="83">
        <v>0</v>
      </c>
      <c r="Q44" s="84">
        <v>8</v>
      </c>
      <c r="R44" s="48">
        <f t="shared" si="65"/>
        <v>0</v>
      </c>
      <c r="S44" s="83">
        <v>0</v>
      </c>
      <c r="T44" s="49">
        <f t="shared" si="66"/>
        <v>0</v>
      </c>
      <c r="U44" s="44">
        <f t="shared" si="67"/>
        <v>0</v>
      </c>
      <c r="V44" s="83">
        <v>59</v>
      </c>
      <c r="W44" s="50">
        <f t="shared" si="68"/>
        <v>8.93939393939394</v>
      </c>
    </row>
    <row r="45" spans="1:23" ht="9.75" customHeight="1">
      <c r="A45" s="188"/>
      <c r="B45" s="51" t="s">
        <v>35</v>
      </c>
      <c r="C45" s="73">
        <v>5466</v>
      </c>
      <c r="D45" s="73">
        <v>3389</v>
      </c>
      <c r="E45" s="147">
        <f t="shared" si="60"/>
        <v>62.00146359312111</v>
      </c>
      <c r="F45" s="73">
        <v>1121</v>
      </c>
      <c r="G45" s="53">
        <f t="shared" si="58"/>
        <v>33.07760401298318</v>
      </c>
      <c r="H45" s="54">
        <f t="shared" si="61"/>
        <v>55</v>
      </c>
      <c r="I45" s="55">
        <f t="shared" si="62"/>
        <v>4.906333630686887</v>
      </c>
      <c r="J45" s="54">
        <f t="shared" si="63"/>
        <v>46</v>
      </c>
      <c r="K45" s="55">
        <f t="shared" si="64"/>
        <v>83.63636363636363</v>
      </c>
      <c r="L45" s="73">
        <v>12</v>
      </c>
      <c r="M45" s="73">
        <v>1</v>
      </c>
      <c r="N45" s="73">
        <v>0</v>
      </c>
      <c r="O45" s="73">
        <v>33</v>
      </c>
      <c r="P45" s="73">
        <v>0</v>
      </c>
      <c r="Q45" s="75">
        <v>9</v>
      </c>
      <c r="R45" s="57">
        <f t="shared" si="65"/>
        <v>0.08920606601248886</v>
      </c>
      <c r="S45" s="73">
        <v>1</v>
      </c>
      <c r="T45" s="58">
        <f t="shared" si="66"/>
        <v>0.08920606601248886</v>
      </c>
      <c r="U45" s="53">
        <f t="shared" si="67"/>
        <v>2.1739130434782608</v>
      </c>
      <c r="V45" s="73">
        <v>92</v>
      </c>
      <c r="W45" s="59">
        <f t="shared" si="68"/>
        <v>8.206958073148975</v>
      </c>
    </row>
    <row r="46" spans="1:23" ht="9.75" customHeight="1" thickBot="1">
      <c r="A46" s="188"/>
      <c r="B46" s="69" t="s">
        <v>10</v>
      </c>
      <c r="C46" s="70">
        <f>SUM(C44:C45)</f>
        <v>10005</v>
      </c>
      <c r="D46" s="70">
        <f>SUM(D44:D45)</f>
        <v>5486</v>
      </c>
      <c r="E46" s="149">
        <f t="shared" si="60"/>
        <v>54.83258370814593</v>
      </c>
      <c r="F46" s="70">
        <f>SUM(F44:F45)</f>
        <v>1781</v>
      </c>
      <c r="G46" s="62">
        <f t="shared" si="58"/>
        <v>32.46445497630332</v>
      </c>
      <c r="H46" s="63">
        <f t="shared" si="61"/>
        <v>97</v>
      </c>
      <c r="I46" s="64">
        <f t="shared" si="62"/>
        <v>5.446378439079169</v>
      </c>
      <c r="J46" s="63">
        <f t="shared" si="63"/>
        <v>80</v>
      </c>
      <c r="K46" s="64">
        <f t="shared" si="64"/>
        <v>82.4742268041237</v>
      </c>
      <c r="L46" s="70">
        <f aca="true" t="shared" si="70" ref="L46:Q46">SUM(L44:L45)</f>
        <v>20</v>
      </c>
      <c r="M46" s="70">
        <f t="shared" si="70"/>
        <v>1</v>
      </c>
      <c r="N46" s="70">
        <f t="shared" si="70"/>
        <v>0</v>
      </c>
      <c r="O46" s="70">
        <f t="shared" si="70"/>
        <v>59</v>
      </c>
      <c r="P46" s="70">
        <f t="shared" si="70"/>
        <v>0</v>
      </c>
      <c r="Q46" s="71">
        <f t="shared" si="70"/>
        <v>17</v>
      </c>
      <c r="R46" s="66">
        <f t="shared" si="65"/>
        <v>0.05614823133071309</v>
      </c>
      <c r="S46" s="70">
        <f>SUM(S44:S45)</f>
        <v>1</v>
      </c>
      <c r="T46" s="67">
        <f t="shared" si="66"/>
        <v>0.05614823133071309</v>
      </c>
      <c r="U46" s="62">
        <f t="shared" si="67"/>
        <v>1.25</v>
      </c>
      <c r="V46" s="70">
        <f>SUM(V44:V45)</f>
        <v>151</v>
      </c>
      <c r="W46" s="68">
        <f t="shared" si="68"/>
        <v>8.478382930937675</v>
      </c>
    </row>
    <row r="47" spans="1:23" ht="9.75" customHeight="1">
      <c r="A47" s="190" t="s">
        <v>79</v>
      </c>
      <c r="B47" s="18" t="s">
        <v>34</v>
      </c>
      <c r="C47" s="19">
        <f>SUM(,C38,C41,C44,)</f>
        <v>27903</v>
      </c>
      <c r="D47" s="19">
        <f>SUM(,D38,D41,D44,)</f>
        <v>8964</v>
      </c>
      <c r="E47" s="143">
        <f aca="true" t="shared" si="71" ref="E47:E61">D47/C47*100</f>
        <v>32.12557789485002</v>
      </c>
      <c r="F47" s="19">
        <f>SUM(,F38,F41,F44,)</f>
        <v>2987</v>
      </c>
      <c r="G47" s="20">
        <f>F47/D47*100</f>
        <v>33.322177599286036</v>
      </c>
      <c r="H47" s="21">
        <f aca="true" t="shared" si="72" ref="H47:H61">SUM(L47:Q47)</f>
        <v>218</v>
      </c>
      <c r="I47" s="22">
        <f aca="true" t="shared" si="73" ref="I47:I61">H47/F47*100</f>
        <v>7.29829260127218</v>
      </c>
      <c r="J47" s="21">
        <f aca="true" t="shared" si="74" ref="J47:J61">SUM(L47:O47)</f>
        <v>176</v>
      </c>
      <c r="K47" s="22">
        <f>J47/H47*100</f>
        <v>80.73394495412845</v>
      </c>
      <c r="L47" s="19">
        <f aca="true" t="shared" si="75" ref="L47:Q48">SUM(,L38,L41,L44,)</f>
        <v>38</v>
      </c>
      <c r="M47" s="19">
        <f t="shared" si="75"/>
        <v>6</v>
      </c>
      <c r="N47" s="19">
        <f t="shared" si="75"/>
        <v>0</v>
      </c>
      <c r="O47" s="19">
        <f t="shared" si="75"/>
        <v>132</v>
      </c>
      <c r="P47" s="19">
        <f t="shared" si="75"/>
        <v>0</v>
      </c>
      <c r="Q47" s="23">
        <f t="shared" si="75"/>
        <v>42</v>
      </c>
      <c r="R47" s="24">
        <f aca="true" t="shared" si="76" ref="R47:R61">M47/F47*100</f>
        <v>0.2008704385671242</v>
      </c>
      <c r="S47" s="19">
        <f>SUM(,S38,S41,S44,)</f>
        <v>3</v>
      </c>
      <c r="T47" s="25">
        <f aca="true" t="shared" si="77" ref="T47:T61">S47/F47*100</f>
        <v>0.1004352192835621</v>
      </c>
      <c r="U47" s="20">
        <f aca="true" t="shared" si="78" ref="U47:U61">M47/J47*100</f>
        <v>3.4090909090909087</v>
      </c>
      <c r="V47" s="19">
        <f>SUM(,V38,V41,V44,)</f>
        <v>373</v>
      </c>
      <c r="W47" s="26">
        <f aca="true" t="shared" si="79" ref="W47:W61">V47/F47*100</f>
        <v>12.487445597589556</v>
      </c>
    </row>
    <row r="48" spans="1:23" ht="9.75" customHeight="1">
      <c r="A48" s="191"/>
      <c r="B48" s="27" t="s">
        <v>35</v>
      </c>
      <c r="C48" s="28">
        <f>SUM(,C39,C42,C45,)</f>
        <v>33032</v>
      </c>
      <c r="D48" s="28">
        <f>SUM(,D39,D42,D45,)</f>
        <v>14864</v>
      </c>
      <c r="E48" s="145">
        <f t="shared" si="71"/>
        <v>44.99878905303948</v>
      </c>
      <c r="F48" s="28">
        <f>SUM(,F39,F42,F45,)</f>
        <v>5175</v>
      </c>
      <c r="G48" s="29">
        <f>F48/D48*100</f>
        <v>34.815662002152855</v>
      </c>
      <c r="H48" s="30">
        <f t="shared" si="72"/>
        <v>289</v>
      </c>
      <c r="I48" s="31">
        <f t="shared" si="73"/>
        <v>5.584541062801932</v>
      </c>
      <c r="J48" s="30">
        <f t="shared" si="74"/>
        <v>242</v>
      </c>
      <c r="K48" s="31">
        <f>J48/H48*100</f>
        <v>83.73702422145328</v>
      </c>
      <c r="L48" s="28">
        <f t="shared" si="75"/>
        <v>64</v>
      </c>
      <c r="M48" s="28">
        <f t="shared" si="75"/>
        <v>5</v>
      </c>
      <c r="N48" s="28">
        <f t="shared" si="75"/>
        <v>1</v>
      </c>
      <c r="O48" s="28">
        <f t="shared" si="75"/>
        <v>172</v>
      </c>
      <c r="P48" s="28">
        <f t="shared" si="75"/>
        <v>1</v>
      </c>
      <c r="Q48" s="32">
        <f t="shared" si="75"/>
        <v>46</v>
      </c>
      <c r="R48" s="33">
        <f t="shared" si="76"/>
        <v>0.0966183574879227</v>
      </c>
      <c r="S48" s="28">
        <f>SUM(,S39,S42,S45,)</f>
        <v>5</v>
      </c>
      <c r="T48" s="34">
        <f t="shared" si="77"/>
        <v>0.0966183574879227</v>
      </c>
      <c r="U48" s="29">
        <f t="shared" si="78"/>
        <v>2.066115702479339</v>
      </c>
      <c r="V48" s="28">
        <f>SUM(,V39,V42,V45,)</f>
        <v>583</v>
      </c>
      <c r="W48" s="35">
        <f t="shared" si="79"/>
        <v>11.265700483091788</v>
      </c>
    </row>
    <row r="49" spans="1:23" ht="9.75" customHeight="1" thickBot="1">
      <c r="A49" s="192"/>
      <c r="B49" s="36" t="s">
        <v>10</v>
      </c>
      <c r="C49" s="79">
        <f>SUM(C47:C48)</f>
        <v>60935</v>
      </c>
      <c r="D49" s="79">
        <f>SUM(D47:D48)</f>
        <v>23828</v>
      </c>
      <c r="E49" s="146">
        <f t="shared" si="71"/>
        <v>39.10396323951752</v>
      </c>
      <c r="F49" s="79">
        <f>SUM(F47:F48)</f>
        <v>8162</v>
      </c>
      <c r="G49" s="38">
        <f>F49/D49*100</f>
        <v>34.25381903642773</v>
      </c>
      <c r="H49" s="37">
        <f t="shared" si="72"/>
        <v>507</v>
      </c>
      <c r="I49" s="38">
        <f t="shared" si="73"/>
        <v>6.2117128154864005</v>
      </c>
      <c r="J49" s="37">
        <f t="shared" si="74"/>
        <v>418</v>
      </c>
      <c r="K49" s="38">
        <f>J49/H49*100</f>
        <v>82.44575936883629</v>
      </c>
      <c r="L49" s="79">
        <f aca="true" t="shared" si="80" ref="L49:Q49">SUM(L47:L48)</f>
        <v>102</v>
      </c>
      <c r="M49" s="79">
        <f t="shared" si="80"/>
        <v>11</v>
      </c>
      <c r="N49" s="79">
        <f t="shared" si="80"/>
        <v>1</v>
      </c>
      <c r="O49" s="79">
        <f t="shared" si="80"/>
        <v>304</v>
      </c>
      <c r="P49" s="79">
        <f t="shared" si="80"/>
        <v>1</v>
      </c>
      <c r="Q49" s="80">
        <f t="shared" si="80"/>
        <v>88</v>
      </c>
      <c r="R49" s="39">
        <f t="shared" si="76"/>
        <v>0.13477088948787064</v>
      </c>
      <c r="S49" s="79">
        <f>SUM(S47:S48)</f>
        <v>8</v>
      </c>
      <c r="T49" s="40">
        <f t="shared" si="77"/>
        <v>0.098015192354815</v>
      </c>
      <c r="U49" s="38">
        <f t="shared" si="78"/>
        <v>2.631578947368421</v>
      </c>
      <c r="V49" s="79">
        <f>SUM(V47:V48)</f>
        <v>956</v>
      </c>
      <c r="W49" s="41">
        <f t="shared" si="79"/>
        <v>11.712815486400393</v>
      </c>
    </row>
    <row r="50" spans="1:23" ht="9.75" customHeight="1">
      <c r="A50" s="188" t="s">
        <v>18</v>
      </c>
      <c r="B50" s="42" t="s">
        <v>34</v>
      </c>
      <c r="C50" s="83">
        <v>16658</v>
      </c>
      <c r="D50" s="83">
        <v>6389</v>
      </c>
      <c r="E50" s="148">
        <f t="shared" si="71"/>
        <v>38.35394405090647</v>
      </c>
      <c r="F50" s="83">
        <v>1081</v>
      </c>
      <c r="G50" s="44">
        <f aca="true" t="shared" si="81" ref="G50:G55">F50/D50*100</f>
        <v>16.919705744247928</v>
      </c>
      <c r="H50" s="45">
        <f t="shared" si="72"/>
        <v>97</v>
      </c>
      <c r="I50" s="46">
        <f t="shared" si="73"/>
        <v>8.973172987974099</v>
      </c>
      <c r="J50" s="45">
        <f t="shared" si="74"/>
        <v>42</v>
      </c>
      <c r="K50" s="46">
        <f aca="true" t="shared" si="82" ref="K50:K55">J50/H50*100</f>
        <v>43.29896907216495</v>
      </c>
      <c r="L50" s="83">
        <v>1</v>
      </c>
      <c r="M50" s="83">
        <v>1</v>
      </c>
      <c r="N50" s="83">
        <v>0</v>
      </c>
      <c r="O50" s="83">
        <v>40</v>
      </c>
      <c r="P50" s="83">
        <v>55</v>
      </c>
      <c r="Q50" s="84">
        <v>0</v>
      </c>
      <c r="R50" s="48">
        <f t="shared" si="76"/>
        <v>0.09250693802035154</v>
      </c>
      <c r="S50" s="83">
        <v>1</v>
      </c>
      <c r="T50" s="49">
        <f t="shared" si="77"/>
        <v>0.09250693802035154</v>
      </c>
      <c r="U50" s="44">
        <f t="shared" si="78"/>
        <v>2.380952380952381</v>
      </c>
      <c r="V50" s="83">
        <v>135</v>
      </c>
      <c r="W50" s="50">
        <f t="shared" si="79"/>
        <v>12.488436632747456</v>
      </c>
    </row>
    <row r="51" spans="1:23" ht="9.75" customHeight="1">
      <c r="A51" s="188"/>
      <c r="B51" s="51" t="s">
        <v>35</v>
      </c>
      <c r="C51" s="73">
        <v>19471</v>
      </c>
      <c r="D51" s="73">
        <v>12018</v>
      </c>
      <c r="E51" s="147">
        <f t="shared" si="71"/>
        <v>61.72256175851266</v>
      </c>
      <c r="F51" s="73">
        <v>2079</v>
      </c>
      <c r="G51" s="53">
        <f t="shared" si="81"/>
        <v>17.299051422865702</v>
      </c>
      <c r="H51" s="54">
        <f t="shared" si="72"/>
        <v>143</v>
      </c>
      <c r="I51" s="55">
        <f t="shared" si="73"/>
        <v>6.878306878306878</v>
      </c>
      <c r="J51" s="54">
        <f t="shared" si="74"/>
        <v>86</v>
      </c>
      <c r="K51" s="55">
        <f t="shared" si="82"/>
        <v>60.13986013986013</v>
      </c>
      <c r="L51" s="73">
        <v>22</v>
      </c>
      <c r="M51" s="73">
        <v>2</v>
      </c>
      <c r="N51" s="73">
        <v>0</v>
      </c>
      <c r="O51" s="73">
        <v>62</v>
      </c>
      <c r="P51" s="73">
        <v>57</v>
      </c>
      <c r="Q51" s="75">
        <v>0</v>
      </c>
      <c r="R51" s="57">
        <f t="shared" si="76"/>
        <v>0.0962000962000962</v>
      </c>
      <c r="S51" s="73">
        <v>1</v>
      </c>
      <c r="T51" s="58">
        <f t="shared" si="77"/>
        <v>0.0481000481000481</v>
      </c>
      <c r="U51" s="53">
        <f t="shared" si="78"/>
        <v>2.3255813953488373</v>
      </c>
      <c r="V51" s="73">
        <v>224</v>
      </c>
      <c r="W51" s="59">
        <f t="shared" si="79"/>
        <v>10.774410774410773</v>
      </c>
    </row>
    <row r="52" spans="1:23" ht="9.75" customHeight="1">
      <c r="A52" s="189"/>
      <c r="B52" s="51" t="s">
        <v>10</v>
      </c>
      <c r="C52" s="60">
        <f>SUM(C50:C51)</f>
        <v>36129</v>
      </c>
      <c r="D52" s="60">
        <f>SUM(D50:D51)</f>
        <v>18407</v>
      </c>
      <c r="E52" s="149">
        <f t="shared" si="71"/>
        <v>50.94799191784992</v>
      </c>
      <c r="F52" s="60">
        <f>SUM(F50:F51)</f>
        <v>3160</v>
      </c>
      <c r="G52" s="62">
        <f t="shared" si="81"/>
        <v>17.167381974248926</v>
      </c>
      <c r="H52" s="63">
        <f t="shared" si="72"/>
        <v>240</v>
      </c>
      <c r="I52" s="64">
        <f t="shared" si="73"/>
        <v>7.59493670886076</v>
      </c>
      <c r="J52" s="63">
        <f t="shared" si="74"/>
        <v>128</v>
      </c>
      <c r="K52" s="64">
        <f t="shared" si="82"/>
        <v>53.333333333333336</v>
      </c>
      <c r="L52" s="60">
        <f aca="true" t="shared" si="83" ref="L52:Q52">SUM(L50:L51)</f>
        <v>23</v>
      </c>
      <c r="M52" s="60">
        <f t="shared" si="83"/>
        <v>3</v>
      </c>
      <c r="N52" s="60">
        <f t="shared" si="83"/>
        <v>0</v>
      </c>
      <c r="O52" s="60">
        <f t="shared" si="83"/>
        <v>102</v>
      </c>
      <c r="P52" s="60">
        <f t="shared" si="83"/>
        <v>112</v>
      </c>
      <c r="Q52" s="65">
        <f t="shared" si="83"/>
        <v>0</v>
      </c>
      <c r="R52" s="66">
        <f t="shared" si="76"/>
        <v>0.09493670886075949</v>
      </c>
      <c r="S52" s="60">
        <f>SUM(S50:S51)</f>
        <v>2</v>
      </c>
      <c r="T52" s="67">
        <f t="shared" si="77"/>
        <v>0.06329113924050633</v>
      </c>
      <c r="U52" s="62">
        <f t="shared" si="78"/>
        <v>2.34375</v>
      </c>
      <c r="V52" s="60">
        <f>SUM(V50:V51)</f>
        <v>359</v>
      </c>
      <c r="W52" s="68">
        <f t="shared" si="79"/>
        <v>11.360759493670885</v>
      </c>
    </row>
    <row r="53" spans="1:23" ht="9.75" customHeight="1">
      <c r="A53" s="187" t="s">
        <v>19</v>
      </c>
      <c r="B53" s="69" t="s">
        <v>34</v>
      </c>
      <c r="C53" s="83">
        <v>3089</v>
      </c>
      <c r="D53" s="83">
        <v>825</v>
      </c>
      <c r="E53" s="148">
        <f t="shared" si="71"/>
        <v>26.7076723858854</v>
      </c>
      <c r="F53" s="83">
        <v>386</v>
      </c>
      <c r="G53" s="44">
        <f t="shared" si="81"/>
        <v>46.78787878787879</v>
      </c>
      <c r="H53" s="45">
        <f t="shared" si="72"/>
        <v>31</v>
      </c>
      <c r="I53" s="46">
        <f t="shared" si="73"/>
        <v>8.031088082901555</v>
      </c>
      <c r="J53" s="45">
        <f t="shared" si="74"/>
        <v>27</v>
      </c>
      <c r="K53" s="46">
        <f t="shared" si="82"/>
        <v>87.09677419354838</v>
      </c>
      <c r="L53" s="83">
        <v>6</v>
      </c>
      <c r="M53" s="83">
        <v>1</v>
      </c>
      <c r="N53" s="83">
        <v>0</v>
      </c>
      <c r="O53" s="83">
        <v>20</v>
      </c>
      <c r="P53" s="83">
        <v>2</v>
      </c>
      <c r="Q53" s="84">
        <v>2</v>
      </c>
      <c r="R53" s="48">
        <f t="shared" si="76"/>
        <v>0.2590673575129534</v>
      </c>
      <c r="S53" s="83">
        <v>0</v>
      </c>
      <c r="T53" s="49">
        <f t="shared" si="77"/>
        <v>0</v>
      </c>
      <c r="U53" s="44">
        <f t="shared" si="78"/>
        <v>3.7037037037037033</v>
      </c>
      <c r="V53" s="83">
        <v>49</v>
      </c>
      <c r="W53" s="50">
        <f t="shared" si="79"/>
        <v>12.694300518134716</v>
      </c>
    </row>
    <row r="54" spans="1:23" ht="9.75" customHeight="1">
      <c r="A54" s="188"/>
      <c r="B54" s="72" t="s">
        <v>35</v>
      </c>
      <c r="C54" s="73">
        <v>3466</v>
      </c>
      <c r="D54" s="73">
        <v>1541</v>
      </c>
      <c r="E54" s="147">
        <f t="shared" si="71"/>
        <v>44.46047316791691</v>
      </c>
      <c r="F54" s="73">
        <v>638</v>
      </c>
      <c r="G54" s="53">
        <f t="shared" si="81"/>
        <v>41.40168721609345</v>
      </c>
      <c r="H54" s="54">
        <f t="shared" si="72"/>
        <v>40</v>
      </c>
      <c r="I54" s="55">
        <f t="shared" si="73"/>
        <v>6.269592476489027</v>
      </c>
      <c r="J54" s="54">
        <f t="shared" si="74"/>
        <v>31</v>
      </c>
      <c r="K54" s="55">
        <f t="shared" si="82"/>
        <v>77.5</v>
      </c>
      <c r="L54" s="73">
        <v>16</v>
      </c>
      <c r="M54" s="73">
        <v>0</v>
      </c>
      <c r="N54" s="73">
        <v>0</v>
      </c>
      <c r="O54" s="73">
        <v>15</v>
      </c>
      <c r="P54" s="73">
        <v>2</v>
      </c>
      <c r="Q54" s="75">
        <v>7</v>
      </c>
      <c r="R54" s="57">
        <f t="shared" si="76"/>
        <v>0</v>
      </c>
      <c r="S54" s="73">
        <v>0</v>
      </c>
      <c r="T54" s="58">
        <f t="shared" si="77"/>
        <v>0</v>
      </c>
      <c r="U54" s="53">
        <f t="shared" si="78"/>
        <v>0</v>
      </c>
      <c r="V54" s="73">
        <v>74</v>
      </c>
      <c r="W54" s="59">
        <f t="shared" si="79"/>
        <v>11.598746081504702</v>
      </c>
    </row>
    <row r="55" spans="1:23" ht="9.75" customHeight="1" thickBot="1">
      <c r="A55" s="188"/>
      <c r="B55" s="69" t="s">
        <v>10</v>
      </c>
      <c r="C55" s="70">
        <f>SUM(C53:C54)</f>
        <v>6555</v>
      </c>
      <c r="D55" s="70">
        <f>SUM(D53:D54)</f>
        <v>2366</v>
      </c>
      <c r="E55" s="149">
        <f t="shared" si="71"/>
        <v>36.094584286803965</v>
      </c>
      <c r="F55" s="70">
        <f>SUM(F53:F54)</f>
        <v>1024</v>
      </c>
      <c r="G55" s="62">
        <f t="shared" si="81"/>
        <v>43.27979712595097</v>
      </c>
      <c r="H55" s="63">
        <f t="shared" si="72"/>
        <v>71</v>
      </c>
      <c r="I55" s="64">
        <f t="shared" si="73"/>
        <v>6.93359375</v>
      </c>
      <c r="J55" s="63">
        <f t="shared" si="74"/>
        <v>58</v>
      </c>
      <c r="K55" s="64">
        <f t="shared" si="82"/>
        <v>81.69014084507043</v>
      </c>
      <c r="L55" s="70">
        <f aca="true" t="shared" si="84" ref="L55:Q55">SUM(L53:L54)</f>
        <v>22</v>
      </c>
      <c r="M55" s="70">
        <f t="shared" si="84"/>
        <v>1</v>
      </c>
      <c r="N55" s="70">
        <f t="shared" si="84"/>
        <v>0</v>
      </c>
      <c r="O55" s="70">
        <f t="shared" si="84"/>
        <v>35</v>
      </c>
      <c r="P55" s="70">
        <f t="shared" si="84"/>
        <v>4</v>
      </c>
      <c r="Q55" s="71">
        <f t="shared" si="84"/>
        <v>9</v>
      </c>
      <c r="R55" s="66">
        <f t="shared" si="76"/>
        <v>0.09765625</v>
      </c>
      <c r="S55" s="70">
        <f>SUM(S53:S54)</f>
        <v>0</v>
      </c>
      <c r="T55" s="67">
        <f t="shared" si="77"/>
        <v>0</v>
      </c>
      <c r="U55" s="62">
        <f t="shared" si="78"/>
        <v>1.7241379310344827</v>
      </c>
      <c r="V55" s="70">
        <f>SUM(V53:V54)</f>
        <v>123</v>
      </c>
      <c r="W55" s="68">
        <f t="shared" si="79"/>
        <v>12.01171875</v>
      </c>
    </row>
    <row r="56" spans="1:23" ht="9.75" customHeight="1">
      <c r="A56" s="190" t="s">
        <v>80</v>
      </c>
      <c r="B56" s="81" t="s">
        <v>34</v>
      </c>
      <c r="C56" s="19">
        <f>SUM(,C50,C53,)</f>
        <v>19747</v>
      </c>
      <c r="D56" s="19">
        <f>SUM(,D50,D53,)</f>
        <v>7214</v>
      </c>
      <c r="E56" s="143">
        <f t="shared" si="71"/>
        <v>36.53213146300704</v>
      </c>
      <c r="F56" s="19">
        <f>SUM(,F50,F53,)</f>
        <v>1467</v>
      </c>
      <c r="G56" s="20">
        <f>F56/D56*100</f>
        <v>20.335458830052673</v>
      </c>
      <c r="H56" s="21">
        <f t="shared" si="72"/>
        <v>128</v>
      </c>
      <c r="I56" s="22">
        <f t="shared" si="73"/>
        <v>8.7252897068848</v>
      </c>
      <c r="J56" s="21">
        <f t="shared" si="74"/>
        <v>69</v>
      </c>
      <c r="K56" s="22">
        <f>J56/H56*100</f>
        <v>53.90625</v>
      </c>
      <c r="L56" s="19">
        <f aca="true" t="shared" si="85" ref="L56:Q57">SUM(,L50,L53,)</f>
        <v>7</v>
      </c>
      <c r="M56" s="19">
        <f t="shared" si="85"/>
        <v>2</v>
      </c>
      <c r="N56" s="19">
        <f t="shared" si="85"/>
        <v>0</v>
      </c>
      <c r="O56" s="19">
        <f t="shared" si="85"/>
        <v>60</v>
      </c>
      <c r="P56" s="19">
        <f t="shared" si="85"/>
        <v>57</v>
      </c>
      <c r="Q56" s="23">
        <f t="shared" si="85"/>
        <v>2</v>
      </c>
      <c r="R56" s="24">
        <f t="shared" si="76"/>
        <v>0.136332651670075</v>
      </c>
      <c r="S56" s="19">
        <f>SUM(,S50,S53,)</f>
        <v>1</v>
      </c>
      <c r="T56" s="25">
        <f t="shared" si="77"/>
        <v>0.0681663258350375</v>
      </c>
      <c r="U56" s="20">
        <f t="shared" si="78"/>
        <v>2.898550724637681</v>
      </c>
      <c r="V56" s="19">
        <f>SUM(,V50,V53,)</f>
        <v>184</v>
      </c>
      <c r="W56" s="26">
        <f t="shared" si="79"/>
        <v>12.5426039536469</v>
      </c>
    </row>
    <row r="57" spans="1:23" ht="9.75" customHeight="1">
      <c r="A57" s="191"/>
      <c r="B57" s="82" t="s">
        <v>35</v>
      </c>
      <c r="C57" s="28">
        <f>SUM(,C51,C54,)</f>
        <v>22937</v>
      </c>
      <c r="D57" s="28">
        <f>SUM(,D51,D54,)</f>
        <v>13559</v>
      </c>
      <c r="E57" s="145">
        <f t="shared" si="71"/>
        <v>59.11409513013908</v>
      </c>
      <c r="F57" s="28">
        <f>SUM(,F51,F54,)</f>
        <v>2717</v>
      </c>
      <c r="G57" s="29">
        <f>F57/D57*100</f>
        <v>20.038350910834133</v>
      </c>
      <c r="H57" s="30">
        <f t="shared" si="72"/>
        <v>183</v>
      </c>
      <c r="I57" s="31">
        <f t="shared" si="73"/>
        <v>6.73536989326463</v>
      </c>
      <c r="J57" s="30">
        <f t="shared" si="74"/>
        <v>117</v>
      </c>
      <c r="K57" s="31">
        <f>J57/H57*100</f>
        <v>63.934426229508205</v>
      </c>
      <c r="L57" s="28">
        <f t="shared" si="85"/>
        <v>38</v>
      </c>
      <c r="M57" s="28">
        <f t="shared" si="85"/>
        <v>2</v>
      </c>
      <c r="N57" s="28">
        <f t="shared" si="85"/>
        <v>0</v>
      </c>
      <c r="O57" s="28">
        <f t="shared" si="85"/>
        <v>77</v>
      </c>
      <c r="P57" s="28">
        <f t="shared" si="85"/>
        <v>59</v>
      </c>
      <c r="Q57" s="32">
        <f t="shared" si="85"/>
        <v>7</v>
      </c>
      <c r="R57" s="33">
        <f t="shared" si="76"/>
        <v>0.0736105999263894</v>
      </c>
      <c r="S57" s="28">
        <f>SUM(,S51,S54,)</f>
        <v>1</v>
      </c>
      <c r="T57" s="34">
        <f t="shared" si="77"/>
        <v>0.0368052999631947</v>
      </c>
      <c r="U57" s="29">
        <f t="shared" si="78"/>
        <v>1.7094017094017095</v>
      </c>
      <c r="V57" s="28">
        <f>SUM(,V51,V54,)</f>
        <v>298</v>
      </c>
      <c r="W57" s="35">
        <f t="shared" si="79"/>
        <v>10.96797938903202</v>
      </c>
    </row>
    <row r="58" spans="1:23" ht="9.75" customHeight="1" thickBot="1">
      <c r="A58" s="192"/>
      <c r="B58" s="36" t="s">
        <v>10</v>
      </c>
      <c r="C58" s="79">
        <f>SUM(C56:C57)</f>
        <v>42684</v>
      </c>
      <c r="D58" s="79">
        <f>SUM(D56:D57)</f>
        <v>20773</v>
      </c>
      <c r="E58" s="146">
        <f t="shared" si="71"/>
        <v>48.666947802455255</v>
      </c>
      <c r="F58" s="79">
        <f>SUM(F56:F57)</f>
        <v>4184</v>
      </c>
      <c r="G58" s="38">
        <f>F58/D58*100</f>
        <v>20.141529870504982</v>
      </c>
      <c r="H58" s="37">
        <f t="shared" si="72"/>
        <v>311</v>
      </c>
      <c r="I58" s="38">
        <f t="shared" si="73"/>
        <v>7.433078393881454</v>
      </c>
      <c r="J58" s="37">
        <f t="shared" si="74"/>
        <v>186</v>
      </c>
      <c r="K58" s="38">
        <f>J58/H58*100</f>
        <v>59.80707395498393</v>
      </c>
      <c r="L58" s="79">
        <f aca="true" t="shared" si="86" ref="L58:Q58">SUM(L56:L57)</f>
        <v>45</v>
      </c>
      <c r="M58" s="79">
        <f t="shared" si="86"/>
        <v>4</v>
      </c>
      <c r="N58" s="79">
        <f t="shared" si="86"/>
        <v>0</v>
      </c>
      <c r="O58" s="79">
        <f t="shared" si="86"/>
        <v>137</v>
      </c>
      <c r="P58" s="79">
        <f t="shared" si="86"/>
        <v>116</v>
      </c>
      <c r="Q58" s="80">
        <f t="shared" si="86"/>
        <v>9</v>
      </c>
      <c r="R58" s="39">
        <f t="shared" si="76"/>
        <v>0.09560229445506692</v>
      </c>
      <c r="S58" s="79">
        <f>SUM(S56:S57)</f>
        <v>2</v>
      </c>
      <c r="T58" s="40">
        <f t="shared" si="77"/>
        <v>0.04780114722753346</v>
      </c>
      <c r="U58" s="38">
        <f t="shared" si="78"/>
        <v>2.1505376344086025</v>
      </c>
      <c r="V58" s="79">
        <f>SUM(V56:V57)</f>
        <v>482</v>
      </c>
      <c r="W58" s="41">
        <f t="shared" si="79"/>
        <v>11.520076481835565</v>
      </c>
    </row>
    <row r="59" spans="1:23" ht="9.75" customHeight="1">
      <c r="A59" s="188" t="s">
        <v>20</v>
      </c>
      <c r="B59" s="69" t="s">
        <v>34</v>
      </c>
      <c r="C59" s="83">
        <v>15711</v>
      </c>
      <c r="D59" s="83">
        <v>7446</v>
      </c>
      <c r="E59" s="148">
        <f t="shared" si="71"/>
        <v>47.39354592323849</v>
      </c>
      <c r="F59" s="83">
        <v>1136</v>
      </c>
      <c r="G59" s="44">
        <f aca="true" t="shared" si="87" ref="G59:G73">F59/D59*100</f>
        <v>15.25651356432984</v>
      </c>
      <c r="H59" s="45">
        <f t="shared" si="72"/>
        <v>86</v>
      </c>
      <c r="I59" s="46">
        <f t="shared" si="73"/>
        <v>7.570422535211267</v>
      </c>
      <c r="J59" s="45">
        <f t="shared" si="74"/>
        <v>66</v>
      </c>
      <c r="K59" s="46">
        <f>J59/H59*100</f>
        <v>76.74418604651163</v>
      </c>
      <c r="L59" s="83">
        <v>18</v>
      </c>
      <c r="M59" s="83">
        <v>2</v>
      </c>
      <c r="N59" s="83">
        <v>1</v>
      </c>
      <c r="O59" s="83">
        <v>45</v>
      </c>
      <c r="P59" s="83">
        <v>0</v>
      </c>
      <c r="Q59" s="84">
        <v>20</v>
      </c>
      <c r="R59" s="48">
        <f t="shared" si="76"/>
        <v>0.17605633802816903</v>
      </c>
      <c r="S59" s="83">
        <v>1</v>
      </c>
      <c r="T59" s="49">
        <f t="shared" si="77"/>
        <v>0.08802816901408451</v>
      </c>
      <c r="U59" s="44">
        <f t="shared" si="78"/>
        <v>3.0303030303030303</v>
      </c>
      <c r="V59" s="83">
        <v>204</v>
      </c>
      <c r="W59" s="50">
        <f t="shared" si="79"/>
        <v>17.95774647887324</v>
      </c>
    </row>
    <row r="60" spans="1:23" ht="9.75" customHeight="1">
      <c r="A60" s="188"/>
      <c r="B60" s="72" t="s">
        <v>35</v>
      </c>
      <c r="C60" s="73">
        <v>18756</v>
      </c>
      <c r="D60" s="73">
        <v>13010</v>
      </c>
      <c r="E60" s="147">
        <f t="shared" si="71"/>
        <v>69.36447003625507</v>
      </c>
      <c r="F60" s="73">
        <v>1774</v>
      </c>
      <c r="G60" s="53">
        <f t="shared" si="87"/>
        <v>13.63566487317448</v>
      </c>
      <c r="H60" s="54">
        <f t="shared" si="72"/>
        <v>121</v>
      </c>
      <c r="I60" s="55">
        <f t="shared" si="73"/>
        <v>6.820744081172492</v>
      </c>
      <c r="J60" s="54">
        <f t="shared" si="74"/>
        <v>99</v>
      </c>
      <c r="K60" s="55">
        <f>J60/H60*100</f>
        <v>81.81818181818183</v>
      </c>
      <c r="L60" s="73">
        <v>35</v>
      </c>
      <c r="M60" s="73">
        <v>1</v>
      </c>
      <c r="N60" s="73">
        <v>1</v>
      </c>
      <c r="O60" s="73">
        <v>62</v>
      </c>
      <c r="P60" s="73">
        <v>0</v>
      </c>
      <c r="Q60" s="75">
        <v>22</v>
      </c>
      <c r="R60" s="57">
        <f t="shared" si="76"/>
        <v>0.05636978579481398</v>
      </c>
      <c r="S60" s="73">
        <v>0</v>
      </c>
      <c r="T60" s="58">
        <f t="shared" si="77"/>
        <v>0</v>
      </c>
      <c r="U60" s="53">
        <f t="shared" si="78"/>
        <v>1.0101010101010102</v>
      </c>
      <c r="V60" s="73">
        <v>330</v>
      </c>
      <c r="W60" s="59">
        <f t="shared" si="79"/>
        <v>18.60202931228861</v>
      </c>
    </row>
    <row r="61" spans="1:23" ht="9.75" customHeight="1">
      <c r="A61" s="189"/>
      <c r="B61" s="51" t="s">
        <v>10</v>
      </c>
      <c r="C61" s="60">
        <f>SUM(C59:C60)</f>
        <v>34467</v>
      </c>
      <c r="D61" s="60">
        <f>SUM(D59:D60)</f>
        <v>20456</v>
      </c>
      <c r="E61" s="149">
        <f t="shared" si="71"/>
        <v>59.34952273188847</v>
      </c>
      <c r="F61" s="60">
        <f>SUM(F59:F60)</f>
        <v>2910</v>
      </c>
      <c r="G61" s="62">
        <f t="shared" si="87"/>
        <v>14.225655064528745</v>
      </c>
      <c r="H61" s="63">
        <f t="shared" si="72"/>
        <v>207</v>
      </c>
      <c r="I61" s="64">
        <f t="shared" si="73"/>
        <v>7.11340206185567</v>
      </c>
      <c r="J61" s="63">
        <f t="shared" si="74"/>
        <v>165</v>
      </c>
      <c r="K61" s="64">
        <f>J61/H61*100</f>
        <v>79.71014492753623</v>
      </c>
      <c r="L61" s="60">
        <f aca="true" t="shared" si="88" ref="L61:Q61">SUM(L59:L60)</f>
        <v>53</v>
      </c>
      <c r="M61" s="60">
        <f t="shared" si="88"/>
        <v>3</v>
      </c>
      <c r="N61" s="60">
        <f t="shared" si="88"/>
        <v>2</v>
      </c>
      <c r="O61" s="60">
        <f t="shared" si="88"/>
        <v>107</v>
      </c>
      <c r="P61" s="60">
        <f t="shared" si="88"/>
        <v>0</v>
      </c>
      <c r="Q61" s="65">
        <f t="shared" si="88"/>
        <v>42</v>
      </c>
      <c r="R61" s="66">
        <f t="shared" si="76"/>
        <v>0.10309278350515465</v>
      </c>
      <c r="S61" s="60">
        <f>SUM(S59:S60)</f>
        <v>1</v>
      </c>
      <c r="T61" s="67">
        <f t="shared" si="77"/>
        <v>0.03436426116838488</v>
      </c>
      <c r="U61" s="62">
        <f t="shared" si="78"/>
        <v>1.8181818181818181</v>
      </c>
      <c r="V61" s="60">
        <f>SUM(V59:V60)</f>
        <v>534</v>
      </c>
      <c r="W61" s="68">
        <f t="shared" si="79"/>
        <v>18.350515463917525</v>
      </c>
    </row>
    <row r="62" spans="1:23" ht="9.75" customHeight="1">
      <c r="A62" s="185" t="s">
        <v>112</v>
      </c>
      <c r="B62" s="42" t="s">
        <v>34</v>
      </c>
      <c r="C62" s="83">
        <v>12965</v>
      </c>
      <c r="D62" s="83">
        <v>5107</v>
      </c>
      <c r="E62" s="148">
        <f aca="true" t="shared" si="89" ref="E62:E73">D62/C62*100</f>
        <v>39.390667180871574</v>
      </c>
      <c r="F62" s="83">
        <v>1087</v>
      </c>
      <c r="G62" s="44">
        <f t="shared" si="87"/>
        <v>21.28451145486587</v>
      </c>
      <c r="H62" s="45">
        <f aca="true" t="shared" si="90" ref="H62:H73">SUM(L62:Q62)</f>
        <v>79</v>
      </c>
      <c r="I62" s="46">
        <f aca="true" t="shared" si="91" ref="I62:I73">H62/F62*100</f>
        <v>7.267709291628336</v>
      </c>
      <c r="J62" s="45">
        <f aca="true" t="shared" si="92" ref="J62:J73">SUM(L62:O62)</f>
        <v>49</v>
      </c>
      <c r="K62" s="46">
        <f aca="true" t="shared" si="93" ref="K62:K73">J62/H62*100</f>
        <v>62.0253164556962</v>
      </c>
      <c r="L62" s="83">
        <v>8</v>
      </c>
      <c r="M62" s="83">
        <v>1</v>
      </c>
      <c r="N62" s="83">
        <v>0</v>
      </c>
      <c r="O62" s="83">
        <v>40</v>
      </c>
      <c r="P62" s="83">
        <v>0</v>
      </c>
      <c r="Q62" s="84">
        <v>30</v>
      </c>
      <c r="R62" s="48">
        <f aca="true" t="shared" si="94" ref="R62:R73">M62/F62*100</f>
        <v>0.09199632014719411</v>
      </c>
      <c r="S62" s="83">
        <v>0</v>
      </c>
      <c r="T62" s="49">
        <f aca="true" t="shared" si="95" ref="T62:T73">S62/F62*100</f>
        <v>0</v>
      </c>
      <c r="U62" s="44">
        <f aca="true" t="shared" si="96" ref="U62:U73">M62/J62*100</f>
        <v>2.0408163265306123</v>
      </c>
      <c r="V62" s="83">
        <v>117</v>
      </c>
      <c r="W62" s="50">
        <f aca="true" t="shared" si="97" ref="W62:W73">V62/F62*100</f>
        <v>10.763569457221712</v>
      </c>
    </row>
    <row r="63" spans="1:23" ht="9.75" customHeight="1">
      <c r="A63" s="182"/>
      <c r="B63" s="51" t="s">
        <v>35</v>
      </c>
      <c r="C63" s="73">
        <v>15288</v>
      </c>
      <c r="D63" s="73">
        <v>6022</v>
      </c>
      <c r="E63" s="147">
        <f t="shared" si="89"/>
        <v>39.390371533228674</v>
      </c>
      <c r="F63" s="73">
        <v>1675</v>
      </c>
      <c r="G63" s="53">
        <f t="shared" si="87"/>
        <v>27.81467950846895</v>
      </c>
      <c r="H63" s="54">
        <f t="shared" si="90"/>
        <v>89</v>
      </c>
      <c r="I63" s="55">
        <f t="shared" si="91"/>
        <v>5.313432835820896</v>
      </c>
      <c r="J63" s="54">
        <f t="shared" si="92"/>
        <v>51</v>
      </c>
      <c r="K63" s="55">
        <f t="shared" si="93"/>
        <v>57.30337078651685</v>
      </c>
      <c r="L63" s="73">
        <v>21</v>
      </c>
      <c r="M63" s="73">
        <v>0</v>
      </c>
      <c r="N63" s="73">
        <v>0</v>
      </c>
      <c r="O63" s="73">
        <v>30</v>
      </c>
      <c r="P63" s="73">
        <v>0</v>
      </c>
      <c r="Q63" s="75">
        <v>38</v>
      </c>
      <c r="R63" s="57">
        <f t="shared" si="94"/>
        <v>0</v>
      </c>
      <c r="S63" s="73">
        <v>0</v>
      </c>
      <c r="T63" s="58">
        <f t="shared" si="95"/>
        <v>0</v>
      </c>
      <c r="U63" s="53">
        <f t="shared" si="96"/>
        <v>0</v>
      </c>
      <c r="V63" s="73">
        <v>162</v>
      </c>
      <c r="W63" s="59">
        <f t="shared" si="97"/>
        <v>9.671641791044776</v>
      </c>
    </row>
    <row r="64" spans="1:23" ht="9.75" customHeight="1">
      <c r="A64" s="186"/>
      <c r="B64" s="51" t="s">
        <v>10</v>
      </c>
      <c r="C64" s="60">
        <f>SUM(C62:C63)</f>
        <v>28253</v>
      </c>
      <c r="D64" s="60">
        <f>SUM(D62:D63)</f>
        <v>11129</v>
      </c>
      <c r="E64" s="149">
        <f t="shared" si="89"/>
        <v>39.39050720277493</v>
      </c>
      <c r="F64" s="60">
        <f>SUM(F62:F63)</f>
        <v>2762</v>
      </c>
      <c r="G64" s="62">
        <f t="shared" si="87"/>
        <v>24.818042950849133</v>
      </c>
      <c r="H64" s="63">
        <f t="shared" si="90"/>
        <v>168</v>
      </c>
      <c r="I64" s="64">
        <f t="shared" si="91"/>
        <v>6.08254887762491</v>
      </c>
      <c r="J64" s="63">
        <f t="shared" si="92"/>
        <v>100</v>
      </c>
      <c r="K64" s="64">
        <f t="shared" si="93"/>
        <v>59.523809523809526</v>
      </c>
      <c r="L64" s="60">
        <f aca="true" t="shared" si="98" ref="L64:Q64">SUM(L62:L63)</f>
        <v>29</v>
      </c>
      <c r="M64" s="60">
        <f t="shared" si="98"/>
        <v>1</v>
      </c>
      <c r="N64" s="60">
        <f t="shared" si="98"/>
        <v>0</v>
      </c>
      <c r="O64" s="60">
        <f t="shared" si="98"/>
        <v>70</v>
      </c>
      <c r="P64" s="60">
        <f t="shared" si="98"/>
        <v>0</v>
      </c>
      <c r="Q64" s="65">
        <f t="shared" si="98"/>
        <v>68</v>
      </c>
      <c r="R64" s="66">
        <f t="shared" si="94"/>
        <v>0.03620564808110065</v>
      </c>
      <c r="S64" s="60">
        <f>SUM(S62:S63)</f>
        <v>0</v>
      </c>
      <c r="T64" s="67">
        <f t="shared" si="95"/>
        <v>0</v>
      </c>
      <c r="U64" s="62">
        <f t="shared" si="96"/>
        <v>1</v>
      </c>
      <c r="V64" s="60">
        <f>SUM(V62:V63)</f>
        <v>279</v>
      </c>
      <c r="W64" s="68">
        <f t="shared" si="97"/>
        <v>10.101375814627083</v>
      </c>
    </row>
    <row r="65" spans="1:23" ht="9.75" customHeight="1">
      <c r="A65" s="187" t="s">
        <v>21</v>
      </c>
      <c r="B65" s="69" t="s">
        <v>34</v>
      </c>
      <c r="C65" s="83">
        <v>10465</v>
      </c>
      <c r="D65" s="83">
        <v>4537</v>
      </c>
      <c r="E65" s="148">
        <f t="shared" si="89"/>
        <v>43.35403726708075</v>
      </c>
      <c r="F65" s="83">
        <v>921</v>
      </c>
      <c r="G65" s="44">
        <f t="shared" si="87"/>
        <v>20.299757549041217</v>
      </c>
      <c r="H65" s="45">
        <f t="shared" si="90"/>
        <v>75</v>
      </c>
      <c r="I65" s="46">
        <f t="shared" si="91"/>
        <v>8.143322475570033</v>
      </c>
      <c r="J65" s="45">
        <f t="shared" si="92"/>
        <v>61</v>
      </c>
      <c r="K65" s="46">
        <f t="shared" si="93"/>
        <v>81.33333333333333</v>
      </c>
      <c r="L65" s="83">
        <v>15</v>
      </c>
      <c r="M65" s="83">
        <v>2</v>
      </c>
      <c r="N65" s="83">
        <v>0</v>
      </c>
      <c r="O65" s="83">
        <v>44</v>
      </c>
      <c r="P65" s="83">
        <v>9</v>
      </c>
      <c r="Q65" s="84">
        <v>5</v>
      </c>
      <c r="R65" s="48">
        <f t="shared" si="94"/>
        <v>0.21715526601520088</v>
      </c>
      <c r="S65" s="83">
        <v>2</v>
      </c>
      <c r="T65" s="49">
        <f t="shared" si="95"/>
        <v>0.21715526601520088</v>
      </c>
      <c r="U65" s="44">
        <f t="shared" si="96"/>
        <v>3.278688524590164</v>
      </c>
      <c r="V65" s="83">
        <v>78</v>
      </c>
      <c r="W65" s="50">
        <f t="shared" si="97"/>
        <v>8.469055374592834</v>
      </c>
    </row>
    <row r="66" spans="1:23" ht="9.75" customHeight="1">
      <c r="A66" s="188"/>
      <c r="B66" s="72" t="s">
        <v>35</v>
      </c>
      <c r="C66" s="73">
        <v>12130</v>
      </c>
      <c r="D66" s="73">
        <v>7545</v>
      </c>
      <c r="E66" s="147">
        <f t="shared" si="89"/>
        <v>62.20115416323166</v>
      </c>
      <c r="F66" s="73">
        <v>1349</v>
      </c>
      <c r="G66" s="53">
        <f t="shared" si="87"/>
        <v>17.879390324718354</v>
      </c>
      <c r="H66" s="54">
        <f t="shared" si="90"/>
        <v>63</v>
      </c>
      <c r="I66" s="55">
        <f t="shared" si="91"/>
        <v>4.670126019273535</v>
      </c>
      <c r="J66" s="54">
        <f t="shared" si="92"/>
        <v>58</v>
      </c>
      <c r="K66" s="55">
        <f t="shared" si="93"/>
        <v>92.06349206349206</v>
      </c>
      <c r="L66" s="73">
        <v>24</v>
      </c>
      <c r="M66" s="73">
        <v>1</v>
      </c>
      <c r="N66" s="73">
        <v>0</v>
      </c>
      <c r="O66" s="73">
        <v>33</v>
      </c>
      <c r="P66" s="73">
        <v>2</v>
      </c>
      <c r="Q66" s="75">
        <v>3</v>
      </c>
      <c r="R66" s="57">
        <f t="shared" si="94"/>
        <v>0.07412898443291327</v>
      </c>
      <c r="S66" s="73">
        <v>0</v>
      </c>
      <c r="T66" s="58">
        <f t="shared" si="95"/>
        <v>0</v>
      </c>
      <c r="U66" s="53">
        <f t="shared" si="96"/>
        <v>1.7241379310344827</v>
      </c>
      <c r="V66" s="73">
        <v>136</v>
      </c>
      <c r="W66" s="59">
        <f t="shared" si="97"/>
        <v>10.081541882876206</v>
      </c>
    </row>
    <row r="67" spans="1:23" ht="9.75" customHeight="1">
      <c r="A67" s="189"/>
      <c r="B67" s="51" t="s">
        <v>10</v>
      </c>
      <c r="C67" s="60">
        <f>SUM(C65:C66)</f>
        <v>22595</v>
      </c>
      <c r="D67" s="60">
        <f>SUM(D65:D66)</f>
        <v>12082</v>
      </c>
      <c r="E67" s="149">
        <f t="shared" si="89"/>
        <v>53.47200708121266</v>
      </c>
      <c r="F67" s="60">
        <f>SUM(F65:F66)</f>
        <v>2270</v>
      </c>
      <c r="G67" s="62">
        <f t="shared" si="87"/>
        <v>18.788280086078462</v>
      </c>
      <c r="H67" s="63">
        <f t="shared" si="90"/>
        <v>138</v>
      </c>
      <c r="I67" s="64">
        <f t="shared" si="91"/>
        <v>6.079295154185022</v>
      </c>
      <c r="J67" s="63">
        <f t="shared" si="92"/>
        <v>119</v>
      </c>
      <c r="K67" s="64">
        <f t="shared" si="93"/>
        <v>86.23188405797102</v>
      </c>
      <c r="L67" s="60">
        <f aca="true" t="shared" si="99" ref="L67:Q67">SUM(L65:L66)</f>
        <v>39</v>
      </c>
      <c r="M67" s="60">
        <f t="shared" si="99"/>
        <v>3</v>
      </c>
      <c r="N67" s="60">
        <f t="shared" si="99"/>
        <v>0</v>
      </c>
      <c r="O67" s="60">
        <f t="shared" si="99"/>
        <v>77</v>
      </c>
      <c r="P67" s="60">
        <f t="shared" si="99"/>
        <v>11</v>
      </c>
      <c r="Q67" s="65">
        <f t="shared" si="99"/>
        <v>8</v>
      </c>
      <c r="R67" s="66">
        <f t="shared" si="94"/>
        <v>0.13215859030837004</v>
      </c>
      <c r="S67" s="60">
        <f>SUM(S65:S66)</f>
        <v>2</v>
      </c>
      <c r="T67" s="67">
        <f t="shared" si="95"/>
        <v>0.0881057268722467</v>
      </c>
      <c r="U67" s="62">
        <f t="shared" si="96"/>
        <v>2.5210084033613445</v>
      </c>
      <c r="V67" s="60">
        <f>SUM(V65:V66)</f>
        <v>214</v>
      </c>
      <c r="W67" s="68">
        <f t="shared" si="97"/>
        <v>9.427312775330396</v>
      </c>
    </row>
    <row r="68" spans="1:23" ht="9.75" customHeight="1">
      <c r="A68" s="187" t="s">
        <v>22</v>
      </c>
      <c r="B68" s="42" t="s">
        <v>34</v>
      </c>
      <c r="C68" s="83">
        <v>2959</v>
      </c>
      <c r="D68" s="83">
        <v>960</v>
      </c>
      <c r="E68" s="148">
        <f t="shared" si="89"/>
        <v>32.44339303818858</v>
      </c>
      <c r="F68" s="83">
        <v>392</v>
      </c>
      <c r="G68" s="44">
        <f t="shared" si="87"/>
        <v>40.833333333333336</v>
      </c>
      <c r="H68" s="45">
        <f t="shared" si="90"/>
        <v>24</v>
      </c>
      <c r="I68" s="46">
        <f t="shared" si="91"/>
        <v>6.122448979591836</v>
      </c>
      <c r="J68" s="45">
        <f t="shared" si="92"/>
        <v>14</v>
      </c>
      <c r="K68" s="46">
        <f t="shared" si="93"/>
        <v>58.333333333333336</v>
      </c>
      <c r="L68" s="83">
        <v>4</v>
      </c>
      <c r="M68" s="83">
        <v>1</v>
      </c>
      <c r="N68" s="83">
        <v>0</v>
      </c>
      <c r="O68" s="83">
        <v>9</v>
      </c>
      <c r="P68" s="83">
        <v>1</v>
      </c>
      <c r="Q68" s="84">
        <v>9</v>
      </c>
      <c r="R68" s="48">
        <f t="shared" si="94"/>
        <v>0.25510204081632654</v>
      </c>
      <c r="S68" s="83">
        <v>1</v>
      </c>
      <c r="T68" s="49">
        <f t="shared" si="95"/>
        <v>0.25510204081632654</v>
      </c>
      <c r="U68" s="44">
        <f t="shared" si="96"/>
        <v>7.142857142857142</v>
      </c>
      <c r="V68" s="83">
        <v>19</v>
      </c>
      <c r="W68" s="50">
        <f t="shared" si="97"/>
        <v>4.846938775510204</v>
      </c>
    </row>
    <row r="69" spans="1:23" ht="9.75" customHeight="1">
      <c r="A69" s="188"/>
      <c r="B69" s="51" t="s">
        <v>35</v>
      </c>
      <c r="C69" s="73">
        <v>3392</v>
      </c>
      <c r="D69" s="73">
        <v>1355</v>
      </c>
      <c r="E69" s="147">
        <f t="shared" si="89"/>
        <v>39.946933962264154</v>
      </c>
      <c r="F69" s="73">
        <v>653</v>
      </c>
      <c r="G69" s="53">
        <f t="shared" si="87"/>
        <v>48.19188191881919</v>
      </c>
      <c r="H69" s="54">
        <f t="shared" si="90"/>
        <v>42</v>
      </c>
      <c r="I69" s="55">
        <f t="shared" si="91"/>
        <v>6.431852986217458</v>
      </c>
      <c r="J69" s="54">
        <f t="shared" si="92"/>
        <v>37</v>
      </c>
      <c r="K69" s="55">
        <f t="shared" si="93"/>
        <v>88.09523809523809</v>
      </c>
      <c r="L69" s="73">
        <v>14</v>
      </c>
      <c r="M69" s="73">
        <v>2</v>
      </c>
      <c r="N69" s="73">
        <v>0</v>
      </c>
      <c r="O69" s="73">
        <v>21</v>
      </c>
      <c r="P69" s="73">
        <v>0</v>
      </c>
      <c r="Q69" s="75">
        <v>5</v>
      </c>
      <c r="R69" s="57">
        <f t="shared" si="94"/>
        <v>0.3062787136294028</v>
      </c>
      <c r="S69" s="73">
        <v>1</v>
      </c>
      <c r="T69" s="58">
        <f t="shared" si="95"/>
        <v>0.1531393568147014</v>
      </c>
      <c r="U69" s="53">
        <f t="shared" si="96"/>
        <v>5.405405405405405</v>
      </c>
      <c r="V69" s="73">
        <v>34</v>
      </c>
      <c r="W69" s="59">
        <f t="shared" si="97"/>
        <v>5.206738131699847</v>
      </c>
    </row>
    <row r="70" spans="1:23" ht="9.75" customHeight="1">
      <c r="A70" s="189"/>
      <c r="B70" s="51" t="s">
        <v>10</v>
      </c>
      <c r="C70" s="60">
        <f>SUM(C68:C69)</f>
        <v>6351</v>
      </c>
      <c r="D70" s="60">
        <f>SUM(D68:D69)</f>
        <v>2315</v>
      </c>
      <c r="E70" s="149">
        <f t="shared" si="89"/>
        <v>36.45095260588884</v>
      </c>
      <c r="F70" s="60">
        <f>SUM(F68:F69)</f>
        <v>1045</v>
      </c>
      <c r="G70" s="62">
        <f t="shared" si="87"/>
        <v>45.14038876889849</v>
      </c>
      <c r="H70" s="63">
        <f t="shared" si="90"/>
        <v>66</v>
      </c>
      <c r="I70" s="64">
        <f t="shared" si="91"/>
        <v>6.315789473684211</v>
      </c>
      <c r="J70" s="63">
        <f t="shared" si="92"/>
        <v>51</v>
      </c>
      <c r="K70" s="64">
        <f t="shared" si="93"/>
        <v>77.27272727272727</v>
      </c>
      <c r="L70" s="60">
        <f aca="true" t="shared" si="100" ref="L70:Q70">SUM(L68:L69)</f>
        <v>18</v>
      </c>
      <c r="M70" s="60">
        <f t="shared" si="100"/>
        <v>3</v>
      </c>
      <c r="N70" s="60">
        <f t="shared" si="100"/>
        <v>0</v>
      </c>
      <c r="O70" s="60">
        <f t="shared" si="100"/>
        <v>30</v>
      </c>
      <c r="P70" s="60">
        <f t="shared" si="100"/>
        <v>1</v>
      </c>
      <c r="Q70" s="65">
        <f t="shared" si="100"/>
        <v>14</v>
      </c>
      <c r="R70" s="66">
        <f t="shared" si="94"/>
        <v>0.28708133971291866</v>
      </c>
      <c r="S70" s="60">
        <f>SUM(S68:S69)</f>
        <v>2</v>
      </c>
      <c r="T70" s="67">
        <f t="shared" si="95"/>
        <v>0.19138755980861244</v>
      </c>
      <c r="U70" s="62">
        <f t="shared" si="96"/>
        <v>5.88235294117647</v>
      </c>
      <c r="V70" s="60">
        <f>SUM(V68:V69)</f>
        <v>53</v>
      </c>
      <c r="W70" s="68">
        <f t="shared" si="97"/>
        <v>5.071770334928229</v>
      </c>
    </row>
    <row r="71" spans="1:23" ht="9.75" customHeight="1">
      <c r="A71" s="187" t="s">
        <v>23</v>
      </c>
      <c r="B71" s="69" t="s">
        <v>34</v>
      </c>
      <c r="C71" s="83">
        <v>4606</v>
      </c>
      <c r="D71" s="83">
        <v>907</v>
      </c>
      <c r="E71" s="148">
        <f t="shared" si="89"/>
        <v>19.69170646982197</v>
      </c>
      <c r="F71" s="83">
        <v>713</v>
      </c>
      <c r="G71" s="44">
        <f t="shared" si="87"/>
        <v>78.61080485115767</v>
      </c>
      <c r="H71" s="45">
        <f t="shared" si="90"/>
        <v>65</v>
      </c>
      <c r="I71" s="46">
        <f t="shared" si="91"/>
        <v>9.1164095371669</v>
      </c>
      <c r="J71" s="45">
        <f t="shared" si="92"/>
        <v>39</v>
      </c>
      <c r="K71" s="46">
        <f t="shared" si="93"/>
        <v>60</v>
      </c>
      <c r="L71" s="83">
        <v>9</v>
      </c>
      <c r="M71" s="83">
        <v>0</v>
      </c>
      <c r="N71" s="83">
        <v>0</v>
      </c>
      <c r="O71" s="83">
        <v>30</v>
      </c>
      <c r="P71" s="83">
        <v>0</v>
      </c>
      <c r="Q71" s="84">
        <v>26</v>
      </c>
      <c r="R71" s="48">
        <f t="shared" si="94"/>
        <v>0</v>
      </c>
      <c r="S71" s="83">
        <v>0</v>
      </c>
      <c r="T71" s="49">
        <f t="shared" si="95"/>
        <v>0</v>
      </c>
      <c r="U71" s="44">
        <f t="shared" si="96"/>
        <v>0</v>
      </c>
      <c r="V71" s="83">
        <v>71</v>
      </c>
      <c r="W71" s="50">
        <f t="shared" si="97"/>
        <v>9.957924263674615</v>
      </c>
    </row>
    <row r="72" spans="1:23" ht="9.75" customHeight="1">
      <c r="A72" s="188"/>
      <c r="B72" s="72" t="s">
        <v>35</v>
      </c>
      <c r="C72" s="73">
        <v>5550</v>
      </c>
      <c r="D72" s="73">
        <v>1196</v>
      </c>
      <c r="E72" s="147">
        <f t="shared" si="89"/>
        <v>21.54954954954955</v>
      </c>
      <c r="F72" s="73">
        <v>950</v>
      </c>
      <c r="G72" s="53">
        <f t="shared" si="87"/>
        <v>79.4314381270903</v>
      </c>
      <c r="H72" s="54">
        <f t="shared" si="90"/>
        <v>78</v>
      </c>
      <c r="I72" s="55">
        <f t="shared" si="91"/>
        <v>8.210526315789474</v>
      </c>
      <c r="J72" s="54">
        <f t="shared" si="92"/>
        <v>51</v>
      </c>
      <c r="K72" s="55">
        <f t="shared" si="93"/>
        <v>65.38461538461539</v>
      </c>
      <c r="L72" s="73">
        <v>14</v>
      </c>
      <c r="M72" s="73">
        <v>1</v>
      </c>
      <c r="N72" s="73">
        <v>0</v>
      </c>
      <c r="O72" s="73">
        <v>36</v>
      </c>
      <c r="P72" s="73">
        <v>0</v>
      </c>
      <c r="Q72" s="75">
        <v>27</v>
      </c>
      <c r="R72" s="57">
        <f t="shared" si="94"/>
        <v>0.10526315789473684</v>
      </c>
      <c r="S72" s="73">
        <v>0</v>
      </c>
      <c r="T72" s="58">
        <f t="shared" si="95"/>
        <v>0</v>
      </c>
      <c r="U72" s="53">
        <f t="shared" si="96"/>
        <v>1.9607843137254901</v>
      </c>
      <c r="V72" s="73">
        <v>108</v>
      </c>
      <c r="W72" s="59">
        <f t="shared" si="97"/>
        <v>11.368421052631579</v>
      </c>
    </row>
    <row r="73" spans="1:23" ht="9.75" customHeight="1" thickBot="1">
      <c r="A73" s="188"/>
      <c r="B73" s="69" t="s">
        <v>10</v>
      </c>
      <c r="C73" s="70">
        <f>SUM(C71:C72)</f>
        <v>10156</v>
      </c>
      <c r="D73" s="70">
        <f>SUM(D71:D72)</f>
        <v>2103</v>
      </c>
      <c r="E73" s="149">
        <f t="shared" si="89"/>
        <v>20.70697124852304</v>
      </c>
      <c r="F73" s="70">
        <f>SUM(F71:F72)</f>
        <v>1663</v>
      </c>
      <c r="G73" s="62">
        <f t="shared" si="87"/>
        <v>79.07750832144555</v>
      </c>
      <c r="H73" s="63">
        <f t="shared" si="90"/>
        <v>143</v>
      </c>
      <c r="I73" s="64">
        <f t="shared" si="91"/>
        <v>8.598917618761275</v>
      </c>
      <c r="J73" s="63">
        <f t="shared" si="92"/>
        <v>90</v>
      </c>
      <c r="K73" s="64">
        <f t="shared" si="93"/>
        <v>62.93706293706294</v>
      </c>
      <c r="L73" s="70">
        <f aca="true" t="shared" si="101" ref="L73:Q73">SUM(L71:L72)</f>
        <v>23</v>
      </c>
      <c r="M73" s="70">
        <f t="shared" si="101"/>
        <v>1</v>
      </c>
      <c r="N73" s="70">
        <f t="shared" si="101"/>
        <v>0</v>
      </c>
      <c r="O73" s="70">
        <f t="shared" si="101"/>
        <v>66</v>
      </c>
      <c r="P73" s="70">
        <f t="shared" si="101"/>
        <v>0</v>
      </c>
      <c r="Q73" s="71">
        <f t="shared" si="101"/>
        <v>53</v>
      </c>
      <c r="R73" s="66">
        <f t="shared" si="94"/>
        <v>0.06013229104028864</v>
      </c>
      <c r="S73" s="70">
        <f>SUM(S71:S72)</f>
        <v>0</v>
      </c>
      <c r="T73" s="67">
        <f t="shared" si="95"/>
        <v>0</v>
      </c>
      <c r="U73" s="62">
        <f t="shared" si="96"/>
        <v>1.1111111111111112</v>
      </c>
      <c r="V73" s="70">
        <f>SUM(V71:V72)</f>
        <v>179</v>
      </c>
      <c r="W73" s="68">
        <f t="shared" si="97"/>
        <v>10.763680096211665</v>
      </c>
    </row>
    <row r="74" spans="1:23" ht="9.75" customHeight="1">
      <c r="A74" s="190" t="s">
        <v>81</v>
      </c>
      <c r="B74" s="81" t="s">
        <v>34</v>
      </c>
      <c r="C74" s="19">
        <f>SUM(C59,C62,,C65,C68,C71,)</f>
        <v>46706</v>
      </c>
      <c r="D74" s="19">
        <f>SUM(D59,D62,,D65,D68,D71,)</f>
        <v>18957</v>
      </c>
      <c r="E74" s="143">
        <f aca="true" t="shared" si="102" ref="E74:E100">D74/C74*100</f>
        <v>40.5879330278765</v>
      </c>
      <c r="F74" s="19">
        <f>SUM(F59,F62,,F65,F68,F71,)</f>
        <v>4249</v>
      </c>
      <c r="G74" s="20">
        <f aca="true" t="shared" si="103" ref="G74:G88">F74/D74*100</f>
        <v>22.413884053383974</v>
      </c>
      <c r="H74" s="21">
        <f aca="true" t="shared" si="104" ref="H74:H100">SUM(L74:Q74)</f>
        <v>329</v>
      </c>
      <c r="I74" s="22">
        <f aca="true" t="shared" si="105" ref="I74:I100">H74/F74*100</f>
        <v>7.742998352553541</v>
      </c>
      <c r="J74" s="21">
        <f aca="true" t="shared" si="106" ref="J74:J100">SUM(L74:O74)</f>
        <v>229</v>
      </c>
      <c r="K74" s="22">
        <f>J74/H74*100</f>
        <v>69.6048632218845</v>
      </c>
      <c r="L74" s="19">
        <f aca="true" t="shared" si="107" ref="L74:Q75">SUM(L59,L62,,L65,L68,L71,)</f>
        <v>54</v>
      </c>
      <c r="M74" s="19">
        <f t="shared" si="107"/>
        <v>6</v>
      </c>
      <c r="N74" s="19">
        <f t="shared" si="107"/>
        <v>1</v>
      </c>
      <c r="O74" s="19">
        <f t="shared" si="107"/>
        <v>168</v>
      </c>
      <c r="P74" s="19">
        <f t="shared" si="107"/>
        <v>10</v>
      </c>
      <c r="Q74" s="23">
        <f t="shared" si="107"/>
        <v>90</v>
      </c>
      <c r="R74" s="24">
        <f aca="true" t="shared" si="108" ref="R74:R100">M74/F74*100</f>
        <v>0.14120969639915276</v>
      </c>
      <c r="S74" s="19">
        <f>SUM(S59,S62,,S65,S68,S71,)</f>
        <v>4</v>
      </c>
      <c r="T74" s="25">
        <f aca="true" t="shared" si="109" ref="T74:T100">S74/F74*100</f>
        <v>0.09413979759943517</v>
      </c>
      <c r="U74" s="20">
        <f aca="true" t="shared" si="110" ref="U74:U100">M74/J74*100</f>
        <v>2.6200873362445414</v>
      </c>
      <c r="V74" s="19">
        <f>SUM(V59,V62,,V65,V68,V71,)</f>
        <v>489</v>
      </c>
      <c r="W74" s="26">
        <f aca="true" t="shared" si="111" ref="W74:W100">V74/F74*100</f>
        <v>11.508590256530947</v>
      </c>
    </row>
    <row r="75" spans="1:23" ht="9.75" customHeight="1">
      <c r="A75" s="191"/>
      <c r="B75" s="82" t="s">
        <v>35</v>
      </c>
      <c r="C75" s="28">
        <f>SUM(C60,C63,,C66,C69,C72,)</f>
        <v>55116</v>
      </c>
      <c r="D75" s="28">
        <f>SUM(D60,D63,,D66,D69,D72,)</f>
        <v>29128</v>
      </c>
      <c r="E75" s="145">
        <f t="shared" si="102"/>
        <v>52.8485376297264</v>
      </c>
      <c r="F75" s="28">
        <f>SUM(F60,F63,,F66,F69,F72,)</f>
        <v>6401</v>
      </c>
      <c r="G75" s="29">
        <f t="shared" si="103"/>
        <v>21.975418840977753</v>
      </c>
      <c r="H75" s="30">
        <f t="shared" si="104"/>
        <v>393</v>
      </c>
      <c r="I75" s="31">
        <f t="shared" si="105"/>
        <v>6.139665677237931</v>
      </c>
      <c r="J75" s="30">
        <f t="shared" si="106"/>
        <v>296</v>
      </c>
      <c r="K75" s="31">
        <f>J75/H75*100</f>
        <v>75.31806615776081</v>
      </c>
      <c r="L75" s="28">
        <f t="shared" si="107"/>
        <v>108</v>
      </c>
      <c r="M75" s="28">
        <f t="shared" si="107"/>
        <v>5</v>
      </c>
      <c r="N75" s="28">
        <f t="shared" si="107"/>
        <v>1</v>
      </c>
      <c r="O75" s="28">
        <f t="shared" si="107"/>
        <v>182</v>
      </c>
      <c r="P75" s="28">
        <f t="shared" si="107"/>
        <v>2</v>
      </c>
      <c r="Q75" s="32">
        <f t="shared" si="107"/>
        <v>95</v>
      </c>
      <c r="R75" s="33">
        <f t="shared" si="108"/>
        <v>0.07811279487580065</v>
      </c>
      <c r="S75" s="28">
        <f>SUM(S60,S63,,S66,S69,S72,)</f>
        <v>1</v>
      </c>
      <c r="T75" s="34">
        <f t="shared" si="109"/>
        <v>0.01562255897516013</v>
      </c>
      <c r="U75" s="29">
        <f t="shared" si="110"/>
        <v>1.6891891891891893</v>
      </c>
      <c r="V75" s="28">
        <f>SUM(V60,V63,,V66,V69,V72,)</f>
        <v>770</v>
      </c>
      <c r="W75" s="35">
        <f t="shared" si="111"/>
        <v>12.029370410873302</v>
      </c>
    </row>
    <row r="76" spans="1:23" ht="9.75" customHeight="1" thickBot="1">
      <c r="A76" s="192"/>
      <c r="B76" s="36" t="s">
        <v>10</v>
      </c>
      <c r="C76" s="79">
        <f>SUM(C74:C75)</f>
        <v>101822</v>
      </c>
      <c r="D76" s="79">
        <f>SUM(D74:D75)</f>
        <v>48085</v>
      </c>
      <c r="E76" s="146">
        <f t="shared" si="102"/>
        <v>47.22456836440062</v>
      </c>
      <c r="F76" s="79">
        <f>SUM(F74:F75)</f>
        <v>10650</v>
      </c>
      <c r="G76" s="38">
        <f t="shared" si="103"/>
        <v>22.14827908911303</v>
      </c>
      <c r="H76" s="37">
        <f t="shared" si="104"/>
        <v>722</v>
      </c>
      <c r="I76" s="38">
        <f t="shared" si="105"/>
        <v>6.779342723004694</v>
      </c>
      <c r="J76" s="37">
        <f t="shared" si="106"/>
        <v>525</v>
      </c>
      <c r="K76" s="38">
        <f>J76/H76*100</f>
        <v>72.71468144044321</v>
      </c>
      <c r="L76" s="79">
        <f aca="true" t="shared" si="112" ref="L76:Q76">SUM(L74:L75)</f>
        <v>162</v>
      </c>
      <c r="M76" s="79">
        <f t="shared" si="112"/>
        <v>11</v>
      </c>
      <c r="N76" s="79">
        <f t="shared" si="112"/>
        <v>2</v>
      </c>
      <c r="O76" s="79">
        <f t="shared" si="112"/>
        <v>350</v>
      </c>
      <c r="P76" s="79">
        <f t="shared" si="112"/>
        <v>12</v>
      </c>
      <c r="Q76" s="80">
        <f t="shared" si="112"/>
        <v>185</v>
      </c>
      <c r="R76" s="39">
        <f t="shared" si="108"/>
        <v>0.10328638497652581</v>
      </c>
      <c r="S76" s="79">
        <f>SUM(S74:S75)</f>
        <v>5</v>
      </c>
      <c r="T76" s="40">
        <f t="shared" si="109"/>
        <v>0.046948356807511735</v>
      </c>
      <c r="U76" s="38">
        <f t="shared" si="110"/>
        <v>2.0952380952380953</v>
      </c>
      <c r="V76" s="79">
        <f>SUM(V74:V75)</f>
        <v>1259</v>
      </c>
      <c r="W76" s="41">
        <f t="shared" si="111"/>
        <v>11.821596244131454</v>
      </c>
    </row>
    <row r="77" spans="1:23" ht="9.75" customHeight="1">
      <c r="A77" s="182" t="s">
        <v>113</v>
      </c>
      <c r="B77" s="69" t="s">
        <v>34</v>
      </c>
      <c r="C77" s="83">
        <v>10532</v>
      </c>
      <c r="D77" s="83">
        <v>4724</v>
      </c>
      <c r="E77" s="148">
        <f t="shared" si="102"/>
        <v>44.85377895936195</v>
      </c>
      <c r="F77" s="83">
        <v>1282</v>
      </c>
      <c r="G77" s="44">
        <f t="shared" si="103"/>
        <v>27.13801862828112</v>
      </c>
      <c r="H77" s="45">
        <f t="shared" si="104"/>
        <v>99</v>
      </c>
      <c r="I77" s="46">
        <f t="shared" si="105"/>
        <v>7.722308892355695</v>
      </c>
      <c r="J77" s="45">
        <f t="shared" si="106"/>
        <v>65</v>
      </c>
      <c r="K77" s="46">
        <f>J77/H77*100</f>
        <v>65.65656565656566</v>
      </c>
      <c r="L77" s="83">
        <v>8</v>
      </c>
      <c r="M77" s="83">
        <v>2</v>
      </c>
      <c r="N77" s="83">
        <v>1</v>
      </c>
      <c r="O77" s="83">
        <v>54</v>
      </c>
      <c r="P77" s="83">
        <v>34</v>
      </c>
      <c r="Q77" s="84">
        <v>0</v>
      </c>
      <c r="R77" s="48">
        <f t="shared" si="108"/>
        <v>0.15600624024961</v>
      </c>
      <c r="S77" s="83">
        <v>1</v>
      </c>
      <c r="T77" s="49">
        <f t="shared" si="109"/>
        <v>0.078003120124805</v>
      </c>
      <c r="U77" s="44">
        <f t="shared" si="110"/>
        <v>3.076923076923077</v>
      </c>
      <c r="V77" s="83">
        <v>200</v>
      </c>
      <c r="W77" s="50">
        <f t="shared" si="111"/>
        <v>15.600624024960998</v>
      </c>
    </row>
    <row r="78" spans="1:23" ht="9.75" customHeight="1">
      <c r="A78" s="182"/>
      <c r="B78" s="72" t="s">
        <v>35</v>
      </c>
      <c r="C78" s="73">
        <v>12838</v>
      </c>
      <c r="D78" s="73">
        <v>7266</v>
      </c>
      <c r="E78" s="147">
        <f t="shared" si="102"/>
        <v>56.597600872410034</v>
      </c>
      <c r="F78" s="73">
        <v>2057</v>
      </c>
      <c r="G78" s="53">
        <f t="shared" si="103"/>
        <v>28.30993669143958</v>
      </c>
      <c r="H78" s="54">
        <f t="shared" si="104"/>
        <v>104</v>
      </c>
      <c r="I78" s="55">
        <f t="shared" si="105"/>
        <v>5.055906660184735</v>
      </c>
      <c r="J78" s="54">
        <f t="shared" si="106"/>
        <v>63</v>
      </c>
      <c r="K78" s="55">
        <f>J78/H78*100</f>
        <v>60.57692307692307</v>
      </c>
      <c r="L78" s="73">
        <v>9</v>
      </c>
      <c r="M78" s="73">
        <v>2</v>
      </c>
      <c r="N78" s="73">
        <v>0</v>
      </c>
      <c r="O78" s="73">
        <v>52</v>
      </c>
      <c r="P78" s="73">
        <v>41</v>
      </c>
      <c r="Q78" s="75">
        <v>0</v>
      </c>
      <c r="R78" s="57">
        <f t="shared" si="108"/>
        <v>0.09722897423432182</v>
      </c>
      <c r="S78" s="73">
        <v>0</v>
      </c>
      <c r="T78" s="58">
        <f t="shared" si="109"/>
        <v>0</v>
      </c>
      <c r="U78" s="53">
        <f t="shared" si="110"/>
        <v>3.1746031746031744</v>
      </c>
      <c r="V78" s="73">
        <v>268</v>
      </c>
      <c r="W78" s="59">
        <f t="shared" si="111"/>
        <v>13.028682547399125</v>
      </c>
    </row>
    <row r="79" spans="1:23" ht="9.75" customHeight="1" thickBot="1">
      <c r="A79" s="182"/>
      <c r="B79" s="69" t="s">
        <v>10</v>
      </c>
      <c r="C79" s="70">
        <f>SUM(C77:C78)</f>
        <v>23370</v>
      </c>
      <c r="D79" s="70">
        <f>SUM(D77:D78)</f>
        <v>11990</v>
      </c>
      <c r="E79" s="149">
        <f t="shared" si="102"/>
        <v>51.3050919982884</v>
      </c>
      <c r="F79" s="70">
        <f>SUM(F77:F78)</f>
        <v>3339</v>
      </c>
      <c r="G79" s="62">
        <f t="shared" si="103"/>
        <v>27.848206839032525</v>
      </c>
      <c r="H79" s="63">
        <f t="shared" si="104"/>
        <v>203</v>
      </c>
      <c r="I79" s="64">
        <f t="shared" si="105"/>
        <v>6.079664570230608</v>
      </c>
      <c r="J79" s="63">
        <f t="shared" si="106"/>
        <v>128</v>
      </c>
      <c r="K79" s="64">
        <f>J79/H79*100</f>
        <v>63.05418719211823</v>
      </c>
      <c r="L79" s="70">
        <f aca="true" t="shared" si="113" ref="L79:Q79">SUM(L77:L78)</f>
        <v>17</v>
      </c>
      <c r="M79" s="70">
        <f t="shared" si="113"/>
        <v>4</v>
      </c>
      <c r="N79" s="70">
        <f t="shared" si="113"/>
        <v>1</v>
      </c>
      <c r="O79" s="70">
        <f t="shared" si="113"/>
        <v>106</v>
      </c>
      <c r="P79" s="70">
        <f t="shared" si="113"/>
        <v>75</v>
      </c>
      <c r="Q79" s="71">
        <f t="shared" si="113"/>
        <v>0</v>
      </c>
      <c r="R79" s="66">
        <f t="shared" si="108"/>
        <v>0.11979634621144056</v>
      </c>
      <c r="S79" s="70">
        <f>SUM(S77:S78)</f>
        <v>1</v>
      </c>
      <c r="T79" s="67">
        <f t="shared" si="109"/>
        <v>0.02994908655286014</v>
      </c>
      <c r="U79" s="62">
        <f t="shared" si="110"/>
        <v>3.125</v>
      </c>
      <c r="V79" s="70">
        <f>SUM(V77:V78)</f>
        <v>468</v>
      </c>
      <c r="W79" s="68">
        <f t="shared" si="111"/>
        <v>14.016172506738545</v>
      </c>
    </row>
    <row r="80" spans="1:23" ht="9.75" customHeight="1">
      <c r="A80" s="190" t="s">
        <v>82</v>
      </c>
      <c r="B80" s="81" t="s">
        <v>34</v>
      </c>
      <c r="C80" s="19">
        <f>C77</f>
        <v>10532</v>
      </c>
      <c r="D80" s="19">
        <f>D77</f>
        <v>4724</v>
      </c>
      <c r="E80" s="143">
        <f t="shared" si="102"/>
        <v>44.85377895936195</v>
      </c>
      <c r="F80" s="19">
        <f>F77</f>
        <v>1282</v>
      </c>
      <c r="G80" s="20">
        <f t="shared" si="103"/>
        <v>27.13801862828112</v>
      </c>
      <c r="H80" s="21">
        <f t="shared" si="104"/>
        <v>99</v>
      </c>
      <c r="I80" s="22">
        <f t="shared" si="105"/>
        <v>7.722308892355695</v>
      </c>
      <c r="J80" s="21">
        <f t="shared" si="106"/>
        <v>65</v>
      </c>
      <c r="K80" s="22">
        <f>J80/H80*100</f>
        <v>65.65656565656566</v>
      </c>
      <c r="L80" s="19">
        <f aca="true" t="shared" si="114" ref="L80:Q81">L77</f>
        <v>8</v>
      </c>
      <c r="M80" s="19">
        <f t="shared" si="114"/>
        <v>2</v>
      </c>
      <c r="N80" s="19">
        <f t="shared" si="114"/>
        <v>1</v>
      </c>
      <c r="O80" s="19">
        <f t="shared" si="114"/>
        <v>54</v>
      </c>
      <c r="P80" s="19">
        <f t="shared" si="114"/>
        <v>34</v>
      </c>
      <c r="Q80" s="23">
        <f t="shared" si="114"/>
        <v>0</v>
      </c>
      <c r="R80" s="24">
        <f t="shared" si="108"/>
        <v>0.15600624024961</v>
      </c>
      <c r="S80" s="19">
        <f>S77</f>
        <v>1</v>
      </c>
      <c r="T80" s="25">
        <f t="shared" si="109"/>
        <v>0.078003120124805</v>
      </c>
      <c r="U80" s="20">
        <f t="shared" si="110"/>
        <v>3.076923076923077</v>
      </c>
      <c r="V80" s="19">
        <f>V77</f>
        <v>200</v>
      </c>
      <c r="W80" s="26">
        <f t="shared" si="111"/>
        <v>15.600624024960998</v>
      </c>
    </row>
    <row r="81" spans="1:23" ht="9.75" customHeight="1">
      <c r="A81" s="191"/>
      <c r="B81" s="82" t="s">
        <v>35</v>
      </c>
      <c r="C81" s="28">
        <f>C78</f>
        <v>12838</v>
      </c>
      <c r="D81" s="28">
        <f>D78</f>
        <v>7266</v>
      </c>
      <c r="E81" s="145">
        <f t="shared" si="102"/>
        <v>56.597600872410034</v>
      </c>
      <c r="F81" s="28">
        <f>F78</f>
        <v>2057</v>
      </c>
      <c r="G81" s="29">
        <f t="shared" si="103"/>
        <v>28.30993669143958</v>
      </c>
      <c r="H81" s="30">
        <f t="shared" si="104"/>
        <v>104</v>
      </c>
      <c r="I81" s="31">
        <f t="shared" si="105"/>
        <v>5.055906660184735</v>
      </c>
      <c r="J81" s="30">
        <f t="shared" si="106"/>
        <v>63</v>
      </c>
      <c r="K81" s="31">
        <f>J81/H81*100</f>
        <v>60.57692307692307</v>
      </c>
      <c r="L81" s="28">
        <f t="shared" si="114"/>
        <v>9</v>
      </c>
      <c r="M81" s="28">
        <f t="shared" si="114"/>
        <v>2</v>
      </c>
      <c r="N81" s="28">
        <f t="shared" si="114"/>
        <v>0</v>
      </c>
      <c r="O81" s="28">
        <f t="shared" si="114"/>
        <v>52</v>
      </c>
      <c r="P81" s="28">
        <f t="shared" si="114"/>
        <v>41</v>
      </c>
      <c r="Q81" s="32">
        <f t="shared" si="114"/>
        <v>0</v>
      </c>
      <c r="R81" s="33">
        <f t="shared" si="108"/>
        <v>0.09722897423432182</v>
      </c>
      <c r="S81" s="28">
        <f>S78</f>
        <v>0</v>
      </c>
      <c r="T81" s="34">
        <f t="shared" si="109"/>
        <v>0</v>
      </c>
      <c r="U81" s="29">
        <f t="shared" si="110"/>
        <v>3.1746031746031744</v>
      </c>
      <c r="V81" s="28">
        <f>V78</f>
        <v>268</v>
      </c>
      <c r="W81" s="35">
        <f t="shared" si="111"/>
        <v>13.028682547399125</v>
      </c>
    </row>
    <row r="82" spans="1:23" ht="9.75" customHeight="1" thickBot="1">
      <c r="A82" s="192"/>
      <c r="B82" s="36" t="s">
        <v>10</v>
      </c>
      <c r="C82" s="79">
        <f>SUM(C80:C81)</f>
        <v>23370</v>
      </c>
      <c r="D82" s="79">
        <f>SUM(D80:D81)</f>
        <v>11990</v>
      </c>
      <c r="E82" s="146">
        <f t="shared" si="102"/>
        <v>51.3050919982884</v>
      </c>
      <c r="F82" s="79">
        <f>SUM(F80:F81)</f>
        <v>3339</v>
      </c>
      <c r="G82" s="38">
        <f t="shared" si="103"/>
        <v>27.848206839032525</v>
      </c>
      <c r="H82" s="37">
        <f t="shared" si="104"/>
        <v>203</v>
      </c>
      <c r="I82" s="38">
        <f t="shared" si="105"/>
        <v>6.079664570230608</v>
      </c>
      <c r="J82" s="37">
        <f t="shared" si="106"/>
        <v>128</v>
      </c>
      <c r="K82" s="38">
        <f>J82/H82*100</f>
        <v>63.05418719211823</v>
      </c>
      <c r="L82" s="79">
        <f aca="true" t="shared" si="115" ref="L82:Q82">SUM(L80:L81)</f>
        <v>17</v>
      </c>
      <c r="M82" s="79">
        <f t="shared" si="115"/>
        <v>4</v>
      </c>
      <c r="N82" s="79">
        <f t="shared" si="115"/>
        <v>1</v>
      </c>
      <c r="O82" s="79">
        <f t="shared" si="115"/>
        <v>106</v>
      </c>
      <c r="P82" s="79">
        <f t="shared" si="115"/>
        <v>75</v>
      </c>
      <c r="Q82" s="80">
        <f t="shared" si="115"/>
        <v>0</v>
      </c>
      <c r="R82" s="39">
        <f t="shared" si="108"/>
        <v>0.11979634621144056</v>
      </c>
      <c r="S82" s="79">
        <f>SUM(S80:S81)</f>
        <v>1</v>
      </c>
      <c r="T82" s="40">
        <f t="shared" si="109"/>
        <v>0.02994908655286014</v>
      </c>
      <c r="U82" s="38">
        <f t="shared" si="110"/>
        <v>3.125</v>
      </c>
      <c r="V82" s="79">
        <f>SUM(V80:V81)</f>
        <v>468</v>
      </c>
      <c r="W82" s="41">
        <f t="shared" si="111"/>
        <v>14.016172506738545</v>
      </c>
    </row>
    <row r="83" spans="1:23" ht="9.75" customHeight="1">
      <c r="A83" s="188" t="s">
        <v>24</v>
      </c>
      <c r="B83" s="69" t="s">
        <v>34</v>
      </c>
      <c r="C83" s="83">
        <v>10359</v>
      </c>
      <c r="D83" s="83">
        <v>4504</v>
      </c>
      <c r="E83" s="148">
        <f t="shared" si="102"/>
        <v>43.479100299256686</v>
      </c>
      <c r="F83" s="83">
        <v>1753</v>
      </c>
      <c r="G83" s="44">
        <f t="shared" si="103"/>
        <v>38.92095914742451</v>
      </c>
      <c r="H83" s="45">
        <f t="shared" si="104"/>
        <v>206</v>
      </c>
      <c r="I83" s="46">
        <f t="shared" si="105"/>
        <v>11.751283513976041</v>
      </c>
      <c r="J83" s="45">
        <f t="shared" si="106"/>
        <v>136</v>
      </c>
      <c r="K83" s="46">
        <f>J83/H83*100</f>
        <v>66.01941747572816</v>
      </c>
      <c r="L83" s="83">
        <v>23</v>
      </c>
      <c r="M83" s="83">
        <v>8</v>
      </c>
      <c r="N83" s="83">
        <v>2</v>
      </c>
      <c r="O83" s="83">
        <v>103</v>
      </c>
      <c r="P83" s="83">
        <v>0</v>
      </c>
      <c r="Q83" s="84">
        <v>70</v>
      </c>
      <c r="R83" s="48">
        <f t="shared" si="108"/>
        <v>0.4563605248146035</v>
      </c>
      <c r="S83" s="83">
        <v>5</v>
      </c>
      <c r="T83" s="49">
        <f t="shared" si="109"/>
        <v>0.2852253280091272</v>
      </c>
      <c r="U83" s="44">
        <f t="shared" si="110"/>
        <v>5.88235294117647</v>
      </c>
      <c r="V83" s="83">
        <v>171</v>
      </c>
      <c r="W83" s="50">
        <f t="shared" si="111"/>
        <v>9.75470621791215</v>
      </c>
    </row>
    <row r="84" spans="1:23" ht="9.75" customHeight="1">
      <c r="A84" s="188"/>
      <c r="B84" s="72" t="s">
        <v>35</v>
      </c>
      <c r="C84" s="73">
        <v>12429</v>
      </c>
      <c r="D84" s="73">
        <v>6204</v>
      </c>
      <c r="E84" s="147">
        <f t="shared" si="102"/>
        <v>49.915520154477434</v>
      </c>
      <c r="F84" s="73">
        <v>2723</v>
      </c>
      <c r="G84" s="53">
        <f t="shared" si="103"/>
        <v>43.89103803997421</v>
      </c>
      <c r="H84" s="54">
        <f t="shared" si="104"/>
        <v>224</v>
      </c>
      <c r="I84" s="55">
        <f t="shared" si="105"/>
        <v>8.226221079691516</v>
      </c>
      <c r="J84" s="54">
        <f t="shared" si="106"/>
        <v>149</v>
      </c>
      <c r="K84" s="55">
        <f>J84/H84*100</f>
        <v>66.51785714285714</v>
      </c>
      <c r="L84" s="73">
        <v>59</v>
      </c>
      <c r="M84" s="73">
        <v>5</v>
      </c>
      <c r="N84" s="73">
        <v>0</v>
      </c>
      <c r="O84" s="73">
        <v>85</v>
      </c>
      <c r="P84" s="73">
        <v>0</v>
      </c>
      <c r="Q84" s="75">
        <v>75</v>
      </c>
      <c r="R84" s="57">
        <f t="shared" si="108"/>
        <v>0.1836210062431142</v>
      </c>
      <c r="S84" s="73">
        <v>4</v>
      </c>
      <c r="T84" s="58">
        <f t="shared" si="109"/>
        <v>0.14689680499449137</v>
      </c>
      <c r="U84" s="53">
        <f t="shared" si="110"/>
        <v>3.3557046979865772</v>
      </c>
      <c r="V84" s="73">
        <v>240</v>
      </c>
      <c r="W84" s="59">
        <f t="shared" si="111"/>
        <v>8.813808299669482</v>
      </c>
    </row>
    <row r="85" spans="1:23" ht="9.75" customHeight="1" thickBot="1">
      <c r="A85" s="188"/>
      <c r="B85" s="69" t="s">
        <v>10</v>
      </c>
      <c r="C85" s="70">
        <f>SUM(C83:C84)</f>
        <v>22788</v>
      </c>
      <c r="D85" s="70">
        <f>SUM(D83:D84)</f>
        <v>10708</v>
      </c>
      <c r="E85" s="149">
        <f t="shared" si="102"/>
        <v>46.98964367210813</v>
      </c>
      <c r="F85" s="70">
        <f>SUM(F83:F84)</f>
        <v>4476</v>
      </c>
      <c r="G85" s="62">
        <f t="shared" si="103"/>
        <v>41.80052297347777</v>
      </c>
      <c r="H85" s="63">
        <f t="shared" si="104"/>
        <v>430</v>
      </c>
      <c r="I85" s="64">
        <f t="shared" si="105"/>
        <v>9.606791778373548</v>
      </c>
      <c r="J85" s="63">
        <f t="shared" si="106"/>
        <v>285</v>
      </c>
      <c r="K85" s="64">
        <f>J85/H85*100</f>
        <v>66.27906976744185</v>
      </c>
      <c r="L85" s="70">
        <f aca="true" t="shared" si="116" ref="L85:Q85">SUM(L83:L84)</f>
        <v>82</v>
      </c>
      <c r="M85" s="70">
        <f t="shared" si="116"/>
        <v>13</v>
      </c>
      <c r="N85" s="70">
        <f t="shared" si="116"/>
        <v>2</v>
      </c>
      <c r="O85" s="70">
        <f t="shared" si="116"/>
        <v>188</v>
      </c>
      <c r="P85" s="70">
        <f t="shared" si="116"/>
        <v>0</v>
      </c>
      <c r="Q85" s="71">
        <f t="shared" si="116"/>
        <v>145</v>
      </c>
      <c r="R85" s="66">
        <f t="shared" si="108"/>
        <v>0.290437890974084</v>
      </c>
      <c r="S85" s="70">
        <f>SUM(S83:S84)</f>
        <v>9</v>
      </c>
      <c r="T85" s="67">
        <f t="shared" si="109"/>
        <v>0.20107238605898123</v>
      </c>
      <c r="U85" s="62">
        <f t="shared" si="110"/>
        <v>4.56140350877193</v>
      </c>
      <c r="V85" s="70">
        <f>SUM(V83:V84)</f>
        <v>411</v>
      </c>
      <c r="W85" s="68">
        <f t="shared" si="111"/>
        <v>9.18230563002681</v>
      </c>
    </row>
    <row r="86" spans="1:23" ht="9.75" customHeight="1">
      <c r="A86" s="190" t="s">
        <v>83</v>
      </c>
      <c r="B86" s="81" t="s">
        <v>34</v>
      </c>
      <c r="C86" s="19">
        <f>C83</f>
        <v>10359</v>
      </c>
      <c r="D86" s="19">
        <f>D83</f>
        <v>4504</v>
      </c>
      <c r="E86" s="143">
        <f t="shared" si="102"/>
        <v>43.479100299256686</v>
      </c>
      <c r="F86" s="19">
        <f>F83</f>
        <v>1753</v>
      </c>
      <c r="G86" s="20">
        <f t="shared" si="103"/>
        <v>38.92095914742451</v>
      </c>
      <c r="H86" s="21">
        <f t="shared" si="104"/>
        <v>206</v>
      </c>
      <c r="I86" s="22">
        <f t="shared" si="105"/>
        <v>11.751283513976041</v>
      </c>
      <c r="J86" s="21">
        <f t="shared" si="106"/>
        <v>136</v>
      </c>
      <c r="K86" s="22">
        <f>J86/H86*100</f>
        <v>66.01941747572816</v>
      </c>
      <c r="L86" s="19">
        <f aca="true" t="shared" si="117" ref="L86:Q87">L83</f>
        <v>23</v>
      </c>
      <c r="M86" s="19">
        <f t="shared" si="117"/>
        <v>8</v>
      </c>
      <c r="N86" s="19">
        <f t="shared" si="117"/>
        <v>2</v>
      </c>
      <c r="O86" s="19">
        <f t="shared" si="117"/>
        <v>103</v>
      </c>
      <c r="P86" s="19">
        <f t="shared" si="117"/>
        <v>0</v>
      </c>
      <c r="Q86" s="23">
        <f t="shared" si="117"/>
        <v>70</v>
      </c>
      <c r="R86" s="24">
        <f t="shared" si="108"/>
        <v>0.4563605248146035</v>
      </c>
      <c r="S86" s="19">
        <f>S83</f>
        <v>5</v>
      </c>
      <c r="T86" s="25">
        <f t="shared" si="109"/>
        <v>0.2852253280091272</v>
      </c>
      <c r="U86" s="20">
        <f t="shared" si="110"/>
        <v>5.88235294117647</v>
      </c>
      <c r="V86" s="19">
        <f>V83</f>
        <v>171</v>
      </c>
      <c r="W86" s="26">
        <f t="shared" si="111"/>
        <v>9.75470621791215</v>
      </c>
    </row>
    <row r="87" spans="1:23" ht="9.75" customHeight="1">
      <c r="A87" s="191"/>
      <c r="B87" s="82" t="s">
        <v>35</v>
      </c>
      <c r="C87" s="28">
        <f>C84</f>
        <v>12429</v>
      </c>
      <c r="D87" s="28">
        <f>D84</f>
        <v>6204</v>
      </c>
      <c r="E87" s="145">
        <f t="shared" si="102"/>
        <v>49.915520154477434</v>
      </c>
      <c r="F87" s="28">
        <f>F84</f>
        <v>2723</v>
      </c>
      <c r="G87" s="29">
        <f t="shared" si="103"/>
        <v>43.89103803997421</v>
      </c>
      <c r="H87" s="30">
        <f t="shared" si="104"/>
        <v>224</v>
      </c>
      <c r="I87" s="31">
        <f t="shared" si="105"/>
        <v>8.226221079691516</v>
      </c>
      <c r="J87" s="30">
        <f t="shared" si="106"/>
        <v>149</v>
      </c>
      <c r="K87" s="31">
        <f>J87/H87*100</f>
        <v>66.51785714285714</v>
      </c>
      <c r="L87" s="28">
        <f t="shared" si="117"/>
        <v>59</v>
      </c>
      <c r="M87" s="28">
        <f t="shared" si="117"/>
        <v>5</v>
      </c>
      <c r="N87" s="28">
        <f t="shared" si="117"/>
        <v>0</v>
      </c>
      <c r="O87" s="28">
        <f t="shared" si="117"/>
        <v>85</v>
      </c>
      <c r="P87" s="28">
        <f t="shared" si="117"/>
        <v>0</v>
      </c>
      <c r="Q87" s="32">
        <f t="shared" si="117"/>
        <v>75</v>
      </c>
      <c r="R87" s="33">
        <f t="shared" si="108"/>
        <v>0.1836210062431142</v>
      </c>
      <c r="S87" s="28">
        <f>S84</f>
        <v>4</v>
      </c>
      <c r="T87" s="34">
        <f t="shared" si="109"/>
        <v>0.14689680499449137</v>
      </c>
      <c r="U87" s="29">
        <f t="shared" si="110"/>
        <v>3.3557046979865772</v>
      </c>
      <c r="V87" s="28">
        <f>V84</f>
        <v>240</v>
      </c>
      <c r="W87" s="35">
        <f t="shared" si="111"/>
        <v>8.813808299669482</v>
      </c>
    </row>
    <row r="88" spans="1:23" ht="9.75" customHeight="1" thickBot="1">
      <c r="A88" s="192"/>
      <c r="B88" s="36" t="s">
        <v>10</v>
      </c>
      <c r="C88" s="79">
        <f>SUM(C86:C87)</f>
        <v>22788</v>
      </c>
      <c r="D88" s="79">
        <f>SUM(D86:D87)</f>
        <v>10708</v>
      </c>
      <c r="E88" s="146">
        <f t="shared" si="102"/>
        <v>46.98964367210813</v>
      </c>
      <c r="F88" s="79">
        <f>SUM(F86:F87)</f>
        <v>4476</v>
      </c>
      <c r="G88" s="38">
        <f t="shared" si="103"/>
        <v>41.80052297347777</v>
      </c>
      <c r="H88" s="37">
        <f t="shared" si="104"/>
        <v>430</v>
      </c>
      <c r="I88" s="38">
        <f t="shared" si="105"/>
        <v>9.606791778373548</v>
      </c>
      <c r="J88" s="37">
        <f t="shared" si="106"/>
        <v>285</v>
      </c>
      <c r="K88" s="38">
        <f>J88/H88*100</f>
        <v>66.27906976744185</v>
      </c>
      <c r="L88" s="79">
        <f aca="true" t="shared" si="118" ref="L88:Q88">SUM(L86:L87)</f>
        <v>82</v>
      </c>
      <c r="M88" s="79">
        <f t="shared" si="118"/>
        <v>13</v>
      </c>
      <c r="N88" s="79">
        <f t="shared" si="118"/>
        <v>2</v>
      </c>
      <c r="O88" s="79">
        <f t="shared" si="118"/>
        <v>188</v>
      </c>
      <c r="P88" s="79">
        <f t="shared" si="118"/>
        <v>0</v>
      </c>
      <c r="Q88" s="80">
        <f t="shared" si="118"/>
        <v>145</v>
      </c>
      <c r="R88" s="39">
        <f t="shared" si="108"/>
        <v>0.290437890974084</v>
      </c>
      <c r="S88" s="79">
        <f>SUM(S86:S87)</f>
        <v>9</v>
      </c>
      <c r="T88" s="40">
        <f t="shared" si="109"/>
        <v>0.20107238605898123</v>
      </c>
      <c r="U88" s="38">
        <f t="shared" si="110"/>
        <v>4.56140350877193</v>
      </c>
      <c r="V88" s="79">
        <f>SUM(V86:V87)</f>
        <v>411</v>
      </c>
      <c r="W88" s="41">
        <f t="shared" si="111"/>
        <v>9.18230563002681</v>
      </c>
    </row>
    <row r="89" spans="1:23" ht="9.75" customHeight="1">
      <c r="A89" s="182" t="s">
        <v>114</v>
      </c>
      <c r="B89" s="69" t="s">
        <v>34</v>
      </c>
      <c r="C89" s="83">
        <v>15012</v>
      </c>
      <c r="D89" s="83">
        <v>7049</v>
      </c>
      <c r="E89" s="148">
        <f t="shared" si="102"/>
        <v>46.95576871835865</v>
      </c>
      <c r="F89" s="83">
        <v>1428</v>
      </c>
      <c r="G89" s="44">
        <f aca="true" t="shared" si="119" ref="G89:G94">F89/D89*100</f>
        <v>20.25819265143992</v>
      </c>
      <c r="H89" s="45">
        <f t="shared" si="104"/>
        <v>163</v>
      </c>
      <c r="I89" s="46">
        <f t="shared" si="105"/>
        <v>11.414565826330533</v>
      </c>
      <c r="J89" s="45">
        <f t="shared" si="106"/>
        <v>72</v>
      </c>
      <c r="K89" s="46">
        <f aca="true" t="shared" si="120" ref="K89:K94">J89/H89*100</f>
        <v>44.171779141104295</v>
      </c>
      <c r="L89" s="83">
        <v>28</v>
      </c>
      <c r="M89" s="83">
        <v>0</v>
      </c>
      <c r="N89" s="83">
        <v>0</v>
      </c>
      <c r="O89" s="83">
        <v>44</v>
      </c>
      <c r="P89" s="83">
        <v>0</v>
      </c>
      <c r="Q89" s="84">
        <v>91</v>
      </c>
      <c r="R89" s="48">
        <f t="shared" si="108"/>
        <v>0</v>
      </c>
      <c r="S89" s="83">
        <v>0</v>
      </c>
      <c r="T89" s="49">
        <f t="shared" si="109"/>
        <v>0</v>
      </c>
      <c r="U89" s="44">
        <f t="shared" si="110"/>
        <v>0</v>
      </c>
      <c r="V89" s="83">
        <v>308</v>
      </c>
      <c r="W89" s="50">
        <f t="shared" si="111"/>
        <v>21.568627450980394</v>
      </c>
    </row>
    <row r="90" spans="1:23" ht="9.75" customHeight="1">
      <c r="A90" s="182"/>
      <c r="B90" s="72" t="s">
        <v>35</v>
      </c>
      <c r="C90" s="73">
        <v>18088</v>
      </c>
      <c r="D90" s="73">
        <v>11334</v>
      </c>
      <c r="E90" s="147">
        <f t="shared" si="102"/>
        <v>62.66032728881026</v>
      </c>
      <c r="F90" s="73">
        <v>2333</v>
      </c>
      <c r="G90" s="53">
        <f t="shared" si="119"/>
        <v>20.58408328921828</v>
      </c>
      <c r="H90" s="54">
        <f t="shared" si="104"/>
        <v>200</v>
      </c>
      <c r="I90" s="55">
        <f t="shared" si="105"/>
        <v>8.572653236176597</v>
      </c>
      <c r="J90" s="54">
        <f t="shared" si="106"/>
        <v>103</v>
      </c>
      <c r="K90" s="55">
        <f t="shared" si="120"/>
        <v>51.5</v>
      </c>
      <c r="L90" s="73">
        <v>43</v>
      </c>
      <c r="M90" s="73">
        <v>3</v>
      </c>
      <c r="N90" s="73">
        <v>0</v>
      </c>
      <c r="O90" s="73">
        <v>57</v>
      </c>
      <c r="P90" s="73">
        <v>0</v>
      </c>
      <c r="Q90" s="75">
        <v>97</v>
      </c>
      <c r="R90" s="57">
        <f t="shared" si="108"/>
        <v>0.12858979854264896</v>
      </c>
      <c r="S90" s="73">
        <v>1</v>
      </c>
      <c r="T90" s="58">
        <f t="shared" si="109"/>
        <v>0.04286326618088298</v>
      </c>
      <c r="U90" s="53">
        <f t="shared" si="110"/>
        <v>2.912621359223301</v>
      </c>
      <c r="V90" s="73">
        <v>428</v>
      </c>
      <c r="W90" s="59">
        <f t="shared" si="111"/>
        <v>18.345477925417917</v>
      </c>
    </row>
    <row r="91" spans="1:23" ht="9.75" customHeight="1">
      <c r="A91" s="186"/>
      <c r="B91" s="51" t="s">
        <v>10</v>
      </c>
      <c r="C91" s="60">
        <f>SUM(C89:C90)</f>
        <v>33100</v>
      </c>
      <c r="D91" s="60">
        <f>SUM(D89:D90)</f>
        <v>18383</v>
      </c>
      <c r="E91" s="149">
        <f t="shared" si="102"/>
        <v>55.537764350453166</v>
      </c>
      <c r="F91" s="60">
        <f>SUM(F89:F90)</f>
        <v>3761</v>
      </c>
      <c r="G91" s="62">
        <f t="shared" si="119"/>
        <v>20.459119838981668</v>
      </c>
      <c r="H91" s="63">
        <f t="shared" si="104"/>
        <v>363</v>
      </c>
      <c r="I91" s="64">
        <f t="shared" si="105"/>
        <v>9.651688380749802</v>
      </c>
      <c r="J91" s="63">
        <f t="shared" si="106"/>
        <v>175</v>
      </c>
      <c r="K91" s="64">
        <f t="shared" si="120"/>
        <v>48.209366391184574</v>
      </c>
      <c r="L91" s="60">
        <f aca="true" t="shared" si="121" ref="L91:Q91">SUM(L89:L90)</f>
        <v>71</v>
      </c>
      <c r="M91" s="60">
        <f t="shared" si="121"/>
        <v>3</v>
      </c>
      <c r="N91" s="60">
        <f t="shared" si="121"/>
        <v>0</v>
      </c>
      <c r="O91" s="60">
        <f t="shared" si="121"/>
        <v>101</v>
      </c>
      <c r="P91" s="60">
        <f t="shared" si="121"/>
        <v>0</v>
      </c>
      <c r="Q91" s="65">
        <f t="shared" si="121"/>
        <v>188</v>
      </c>
      <c r="R91" s="66">
        <f t="shared" si="108"/>
        <v>0.07976601967561818</v>
      </c>
      <c r="S91" s="60">
        <f>SUM(S89:S90)</f>
        <v>1</v>
      </c>
      <c r="T91" s="67">
        <f t="shared" si="109"/>
        <v>0.026588673225206066</v>
      </c>
      <c r="U91" s="62">
        <f t="shared" si="110"/>
        <v>1.7142857142857144</v>
      </c>
      <c r="V91" s="60">
        <f>SUM(V89:V90)</f>
        <v>736</v>
      </c>
      <c r="W91" s="68">
        <f t="shared" si="111"/>
        <v>19.569263493751663</v>
      </c>
    </row>
    <row r="92" spans="1:23" ht="9.75" customHeight="1">
      <c r="A92" s="187" t="s">
        <v>25</v>
      </c>
      <c r="B92" s="42" t="s">
        <v>34</v>
      </c>
      <c r="C92" s="83">
        <v>326</v>
      </c>
      <c r="D92" s="83">
        <v>180</v>
      </c>
      <c r="E92" s="148">
        <f t="shared" si="102"/>
        <v>55.21472392638037</v>
      </c>
      <c r="F92" s="83">
        <v>40</v>
      </c>
      <c r="G92" s="44">
        <f t="shared" si="119"/>
        <v>22.22222222222222</v>
      </c>
      <c r="H92" s="45">
        <f t="shared" si="104"/>
        <v>6</v>
      </c>
      <c r="I92" s="46">
        <f t="shared" si="105"/>
        <v>15</v>
      </c>
      <c r="J92" s="45">
        <f t="shared" si="106"/>
        <v>4</v>
      </c>
      <c r="K92" s="46">
        <f t="shared" si="120"/>
        <v>66.66666666666666</v>
      </c>
      <c r="L92" s="83">
        <v>2</v>
      </c>
      <c r="M92" s="83">
        <v>0</v>
      </c>
      <c r="N92" s="83">
        <v>0</v>
      </c>
      <c r="O92" s="83">
        <v>2</v>
      </c>
      <c r="P92" s="83">
        <v>0</v>
      </c>
      <c r="Q92" s="84">
        <v>2</v>
      </c>
      <c r="R92" s="48">
        <f>M92/F92*100</f>
        <v>0</v>
      </c>
      <c r="S92" s="83">
        <v>0</v>
      </c>
      <c r="T92" s="49">
        <f t="shared" si="109"/>
        <v>0</v>
      </c>
      <c r="U92" s="44">
        <f t="shared" si="110"/>
        <v>0</v>
      </c>
      <c r="V92" s="83">
        <v>8</v>
      </c>
      <c r="W92" s="50">
        <f t="shared" si="111"/>
        <v>20</v>
      </c>
    </row>
    <row r="93" spans="1:23" ht="9.75" customHeight="1">
      <c r="A93" s="188"/>
      <c r="B93" s="51" t="s">
        <v>35</v>
      </c>
      <c r="C93" s="73">
        <v>398</v>
      </c>
      <c r="D93" s="73">
        <v>287</v>
      </c>
      <c r="E93" s="147">
        <f t="shared" si="102"/>
        <v>72.11055276381909</v>
      </c>
      <c r="F93" s="73">
        <v>65</v>
      </c>
      <c r="G93" s="53">
        <f t="shared" si="119"/>
        <v>22.64808362369338</v>
      </c>
      <c r="H93" s="54">
        <f t="shared" si="104"/>
        <v>7</v>
      </c>
      <c r="I93" s="55">
        <f t="shared" si="105"/>
        <v>10.76923076923077</v>
      </c>
      <c r="J93" s="54">
        <f t="shared" si="106"/>
        <v>4</v>
      </c>
      <c r="K93" s="55">
        <f t="shared" si="120"/>
        <v>57.14285714285714</v>
      </c>
      <c r="L93" s="73">
        <v>0</v>
      </c>
      <c r="M93" s="73">
        <v>2</v>
      </c>
      <c r="N93" s="73">
        <v>0</v>
      </c>
      <c r="O93" s="73">
        <v>2</v>
      </c>
      <c r="P93" s="73">
        <v>0</v>
      </c>
      <c r="Q93" s="75">
        <v>3</v>
      </c>
      <c r="R93" s="57">
        <f t="shared" si="108"/>
        <v>3.076923076923077</v>
      </c>
      <c r="S93" s="73">
        <v>0</v>
      </c>
      <c r="T93" s="58">
        <f t="shared" si="109"/>
        <v>0</v>
      </c>
      <c r="U93" s="53">
        <f t="shared" si="110"/>
        <v>50</v>
      </c>
      <c r="V93" s="73">
        <v>10</v>
      </c>
      <c r="W93" s="59">
        <f t="shared" si="111"/>
        <v>15.384615384615385</v>
      </c>
    </row>
    <row r="94" spans="1:23" ht="9.75" customHeight="1" thickBot="1">
      <c r="A94" s="188"/>
      <c r="B94" s="69" t="s">
        <v>10</v>
      </c>
      <c r="C94" s="70">
        <f>SUM(C92:C93)</f>
        <v>724</v>
      </c>
      <c r="D94" s="70">
        <f>SUM(D92:D93)</f>
        <v>467</v>
      </c>
      <c r="E94" s="149">
        <f t="shared" si="102"/>
        <v>64.50276243093923</v>
      </c>
      <c r="F94" s="70">
        <f>SUM(F92:F93)</f>
        <v>105</v>
      </c>
      <c r="G94" s="62">
        <f t="shared" si="119"/>
        <v>22.483940042826553</v>
      </c>
      <c r="H94" s="63">
        <f t="shared" si="104"/>
        <v>13</v>
      </c>
      <c r="I94" s="64">
        <f t="shared" si="105"/>
        <v>12.380952380952381</v>
      </c>
      <c r="J94" s="63">
        <f t="shared" si="106"/>
        <v>8</v>
      </c>
      <c r="K94" s="64">
        <f t="shared" si="120"/>
        <v>61.53846153846154</v>
      </c>
      <c r="L94" s="70">
        <f aca="true" t="shared" si="122" ref="L94:Q94">SUM(L92:L93)</f>
        <v>2</v>
      </c>
      <c r="M94" s="70">
        <f t="shared" si="122"/>
        <v>2</v>
      </c>
      <c r="N94" s="70">
        <f t="shared" si="122"/>
        <v>0</v>
      </c>
      <c r="O94" s="70">
        <f t="shared" si="122"/>
        <v>4</v>
      </c>
      <c r="P94" s="70">
        <f t="shared" si="122"/>
        <v>0</v>
      </c>
      <c r="Q94" s="71">
        <f t="shared" si="122"/>
        <v>5</v>
      </c>
      <c r="R94" s="66">
        <f t="shared" si="108"/>
        <v>1.9047619047619049</v>
      </c>
      <c r="S94" s="70">
        <f>SUM(S92:S93)</f>
        <v>0</v>
      </c>
      <c r="T94" s="67">
        <f t="shared" si="109"/>
        <v>0</v>
      </c>
      <c r="U94" s="62">
        <f t="shared" si="110"/>
        <v>25</v>
      </c>
      <c r="V94" s="70">
        <f>SUM(V92:V93)</f>
        <v>18</v>
      </c>
      <c r="W94" s="68">
        <f t="shared" si="111"/>
        <v>17.142857142857142</v>
      </c>
    </row>
    <row r="95" spans="1:23" ht="9.75" customHeight="1">
      <c r="A95" s="190" t="s">
        <v>84</v>
      </c>
      <c r="B95" s="18" t="s">
        <v>34</v>
      </c>
      <c r="C95" s="19">
        <f>SUM(,C89,C92,)</f>
        <v>15338</v>
      </c>
      <c r="D95" s="19">
        <f>SUM(,D89,D92,)</f>
        <v>7229</v>
      </c>
      <c r="E95" s="143">
        <f t="shared" si="102"/>
        <v>47.13130786282436</v>
      </c>
      <c r="F95" s="19">
        <f>SUM(,F89,F92,)</f>
        <v>1468</v>
      </c>
      <c r="G95" s="20">
        <f>F95/D95*100</f>
        <v>20.307096417208466</v>
      </c>
      <c r="H95" s="21">
        <f t="shared" si="104"/>
        <v>169</v>
      </c>
      <c r="I95" s="22">
        <f t="shared" si="105"/>
        <v>11.512261580381471</v>
      </c>
      <c r="J95" s="21">
        <f t="shared" si="106"/>
        <v>76</v>
      </c>
      <c r="K95" s="22">
        <f>J95/H95*100</f>
        <v>44.97041420118343</v>
      </c>
      <c r="L95" s="19">
        <f aca="true" t="shared" si="123" ref="L95:Q96">SUM(,L89,L92,)</f>
        <v>30</v>
      </c>
      <c r="M95" s="19">
        <f t="shared" si="123"/>
        <v>0</v>
      </c>
      <c r="N95" s="19">
        <f t="shared" si="123"/>
        <v>0</v>
      </c>
      <c r="O95" s="19">
        <f t="shared" si="123"/>
        <v>46</v>
      </c>
      <c r="P95" s="19">
        <f t="shared" si="123"/>
        <v>0</v>
      </c>
      <c r="Q95" s="23">
        <f t="shared" si="123"/>
        <v>93</v>
      </c>
      <c r="R95" s="24">
        <f t="shared" si="108"/>
        <v>0</v>
      </c>
      <c r="S95" s="19">
        <f>SUM(,S89,S92,)</f>
        <v>0</v>
      </c>
      <c r="T95" s="25">
        <f t="shared" si="109"/>
        <v>0</v>
      </c>
      <c r="U95" s="20">
        <f t="shared" si="110"/>
        <v>0</v>
      </c>
      <c r="V95" s="19">
        <f>SUM(,V89,V92,)</f>
        <v>316</v>
      </c>
      <c r="W95" s="26">
        <f t="shared" si="111"/>
        <v>21.525885558583106</v>
      </c>
    </row>
    <row r="96" spans="1:23" ht="9.75" customHeight="1">
      <c r="A96" s="191"/>
      <c r="B96" s="27" t="s">
        <v>35</v>
      </c>
      <c r="C96" s="28">
        <f>SUM(,C90,C93,)</f>
        <v>18486</v>
      </c>
      <c r="D96" s="28">
        <f>SUM(,D90,D93,)</f>
        <v>11621</v>
      </c>
      <c r="E96" s="145">
        <f t="shared" si="102"/>
        <v>62.8637888131559</v>
      </c>
      <c r="F96" s="28">
        <f>SUM(,F90,F93,)</f>
        <v>2398</v>
      </c>
      <c r="G96" s="29">
        <f>F96/D96*100</f>
        <v>20.63505722399105</v>
      </c>
      <c r="H96" s="30">
        <f t="shared" si="104"/>
        <v>207</v>
      </c>
      <c r="I96" s="31">
        <f t="shared" si="105"/>
        <v>8.632193494578816</v>
      </c>
      <c r="J96" s="30">
        <f t="shared" si="106"/>
        <v>107</v>
      </c>
      <c r="K96" s="31">
        <f>J96/H96*100</f>
        <v>51.690821256038646</v>
      </c>
      <c r="L96" s="28">
        <f t="shared" si="123"/>
        <v>43</v>
      </c>
      <c r="M96" s="28">
        <f t="shared" si="123"/>
        <v>5</v>
      </c>
      <c r="N96" s="28">
        <f t="shared" si="123"/>
        <v>0</v>
      </c>
      <c r="O96" s="28">
        <f t="shared" si="123"/>
        <v>59</v>
      </c>
      <c r="P96" s="28">
        <f t="shared" si="123"/>
        <v>0</v>
      </c>
      <c r="Q96" s="32">
        <f t="shared" si="123"/>
        <v>100</v>
      </c>
      <c r="R96" s="33">
        <f t="shared" si="108"/>
        <v>0.2085070892410342</v>
      </c>
      <c r="S96" s="28">
        <f>SUM(,S90,S93,)</f>
        <v>1</v>
      </c>
      <c r="T96" s="34">
        <f t="shared" si="109"/>
        <v>0.041701417848206836</v>
      </c>
      <c r="U96" s="29">
        <f t="shared" si="110"/>
        <v>4.672897196261682</v>
      </c>
      <c r="V96" s="28">
        <f>SUM(,V90,V93,)</f>
        <v>438</v>
      </c>
      <c r="W96" s="35">
        <f t="shared" si="111"/>
        <v>18.265221017514595</v>
      </c>
    </row>
    <row r="97" spans="1:23" ht="9.75" customHeight="1" thickBot="1">
      <c r="A97" s="192"/>
      <c r="B97" s="36" t="s">
        <v>10</v>
      </c>
      <c r="C97" s="79">
        <f>SUM(C95:C96)</f>
        <v>33824</v>
      </c>
      <c r="D97" s="79">
        <f>SUM(D95:D96)</f>
        <v>18850</v>
      </c>
      <c r="E97" s="146">
        <f t="shared" si="102"/>
        <v>55.72965941343425</v>
      </c>
      <c r="F97" s="79">
        <f>SUM(F95:F96)</f>
        <v>3866</v>
      </c>
      <c r="G97" s="38">
        <f>F97/D97*100</f>
        <v>20.509283819628646</v>
      </c>
      <c r="H97" s="37">
        <f t="shared" si="104"/>
        <v>376</v>
      </c>
      <c r="I97" s="38">
        <f t="shared" si="105"/>
        <v>9.725814795654424</v>
      </c>
      <c r="J97" s="37">
        <f t="shared" si="106"/>
        <v>183</v>
      </c>
      <c r="K97" s="38">
        <f>J97/H97*100</f>
        <v>48.67021276595745</v>
      </c>
      <c r="L97" s="79">
        <f aca="true" t="shared" si="124" ref="L97:Q97">SUM(L95:L96)</f>
        <v>73</v>
      </c>
      <c r="M97" s="79">
        <f t="shared" si="124"/>
        <v>5</v>
      </c>
      <c r="N97" s="79">
        <f t="shared" si="124"/>
        <v>0</v>
      </c>
      <c r="O97" s="79">
        <f t="shared" si="124"/>
        <v>105</v>
      </c>
      <c r="P97" s="79">
        <f t="shared" si="124"/>
        <v>0</v>
      </c>
      <c r="Q97" s="80">
        <f t="shared" si="124"/>
        <v>193</v>
      </c>
      <c r="R97" s="39">
        <f t="shared" si="108"/>
        <v>0.12933264355923435</v>
      </c>
      <c r="S97" s="79">
        <f>SUM(S95:S96)</f>
        <v>1</v>
      </c>
      <c r="T97" s="40">
        <f t="shared" si="109"/>
        <v>0.02586652871184687</v>
      </c>
      <c r="U97" s="38">
        <f t="shared" si="110"/>
        <v>2.73224043715847</v>
      </c>
      <c r="V97" s="79">
        <f>SUM(V95:V96)</f>
        <v>754</v>
      </c>
      <c r="W97" s="41">
        <f t="shared" si="111"/>
        <v>19.50336264873254</v>
      </c>
    </row>
    <row r="98" spans="1:23" ht="9.75" customHeight="1">
      <c r="A98" s="188" t="s">
        <v>26</v>
      </c>
      <c r="B98" s="42" t="s">
        <v>34</v>
      </c>
      <c r="C98" s="83">
        <v>27894</v>
      </c>
      <c r="D98" s="83">
        <v>11677</v>
      </c>
      <c r="E98" s="148">
        <f t="shared" si="102"/>
        <v>41.86204918620492</v>
      </c>
      <c r="F98" s="83">
        <v>2463</v>
      </c>
      <c r="G98" s="44">
        <f aca="true" t="shared" si="125" ref="G98:G109">F98/D98*100</f>
        <v>21.092746424595358</v>
      </c>
      <c r="H98" s="45">
        <f t="shared" si="104"/>
        <v>199</v>
      </c>
      <c r="I98" s="46">
        <f t="shared" si="105"/>
        <v>8.079577750710516</v>
      </c>
      <c r="J98" s="45">
        <f t="shared" si="106"/>
        <v>137</v>
      </c>
      <c r="K98" s="46">
        <f>J98/H98*100</f>
        <v>68.84422110552764</v>
      </c>
      <c r="L98" s="83">
        <v>41</v>
      </c>
      <c r="M98" s="83">
        <v>4</v>
      </c>
      <c r="N98" s="83">
        <v>1</v>
      </c>
      <c r="O98" s="83">
        <v>91</v>
      </c>
      <c r="P98" s="83">
        <v>0</v>
      </c>
      <c r="Q98" s="84">
        <v>62</v>
      </c>
      <c r="R98" s="48">
        <f t="shared" si="108"/>
        <v>0.16240357287860333</v>
      </c>
      <c r="S98" s="83">
        <v>0</v>
      </c>
      <c r="T98" s="49">
        <f t="shared" si="109"/>
        <v>0</v>
      </c>
      <c r="U98" s="44">
        <f t="shared" si="110"/>
        <v>2.9197080291970803</v>
      </c>
      <c r="V98" s="83">
        <v>413</v>
      </c>
      <c r="W98" s="50">
        <f t="shared" si="111"/>
        <v>16.768168899715793</v>
      </c>
    </row>
    <row r="99" spans="1:23" ht="9.75" customHeight="1">
      <c r="A99" s="188"/>
      <c r="B99" s="51" t="s">
        <v>35</v>
      </c>
      <c r="C99" s="73">
        <v>33480</v>
      </c>
      <c r="D99" s="73">
        <v>20638</v>
      </c>
      <c r="E99" s="147">
        <f t="shared" si="102"/>
        <v>61.64277180406212</v>
      </c>
      <c r="F99" s="73">
        <v>4354</v>
      </c>
      <c r="G99" s="53">
        <f t="shared" si="125"/>
        <v>21.097005523791065</v>
      </c>
      <c r="H99" s="54">
        <f t="shared" si="104"/>
        <v>253</v>
      </c>
      <c r="I99" s="55">
        <f t="shared" si="105"/>
        <v>5.8107487367937525</v>
      </c>
      <c r="J99" s="54">
        <f t="shared" si="106"/>
        <v>190</v>
      </c>
      <c r="K99" s="55">
        <f>J99/H99*100</f>
        <v>75.09881422924902</v>
      </c>
      <c r="L99" s="73">
        <v>73</v>
      </c>
      <c r="M99" s="73">
        <v>8</v>
      </c>
      <c r="N99" s="73">
        <v>1</v>
      </c>
      <c r="O99" s="73">
        <v>108</v>
      </c>
      <c r="P99" s="73">
        <v>0</v>
      </c>
      <c r="Q99" s="75">
        <v>63</v>
      </c>
      <c r="R99" s="57">
        <f t="shared" si="108"/>
        <v>0.18373909049150206</v>
      </c>
      <c r="S99" s="73">
        <v>4</v>
      </c>
      <c r="T99" s="58">
        <f t="shared" si="109"/>
        <v>0.09186954524575103</v>
      </c>
      <c r="U99" s="53">
        <f t="shared" si="110"/>
        <v>4.2105263157894735</v>
      </c>
      <c r="V99" s="73">
        <v>687</v>
      </c>
      <c r="W99" s="59">
        <f t="shared" si="111"/>
        <v>15.77859439595774</v>
      </c>
    </row>
    <row r="100" spans="1:23" ht="9.75" customHeight="1">
      <c r="A100" s="189"/>
      <c r="B100" s="51" t="s">
        <v>10</v>
      </c>
      <c r="C100" s="60">
        <f>SUM(C98:C99)</f>
        <v>61374</v>
      </c>
      <c r="D100" s="60">
        <f>SUM(D98:D99)</f>
        <v>32315</v>
      </c>
      <c r="E100" s="149">
        <f t="shared" si="102"/>
        <v>52.652589044220676</v>
      </c>
      <c r="F100" s="60">
        <f>SUM(F98:F99)</f>
        <v>6817</v>
      </c>
      <c r="G100" s="62">
        <f t="shared" si="125"/>
        <v>21.09546650162463</v>
      </c>
      <c r="H100" s="63">
        <f t="shared" si="104"/>
        <v>452</v>
      </c>
      <c r="I100" s="64">
        <f t="shared" si="105"/>
        <v>6.630482616986945</v>
      </c>
      <c r="J100" s="63">
        <f t="shared" si="106"/>
        <v>327</v>
      </c>
      <c r="K100" s="64">
        <f>J100/H100*100</f>
        <v>72.34513274336283</v>
      </c>
      <c r="L100" s="60">
        <f aca="true" t="shared" si="126" ref="L100:Q100">SUM(L98:L99)</f>
        <v>114</v>
      </c>
      <c r="M100" s="60">
        <f t="shared" si="126"/>
        <v>12</v>
      </c>
      <c r="N100" s="60">
        <f t="shared" si="126"/>
        <v>2</v>
      </c>
      <c r="O100" s="60">
        <f t="shared" si="126"/>
        <v>199</v>
      </c>
      <c r="P100" s="60">
        <f t="shared" si="126"/>
        <v>0</v>
      </c>
      <c r="Q100" s="65">
        <f t="shared" si="126"/>
        <v>125</v>
      </c>
      <c r="R100" s="66">
        <f t="shared" si="108"/>
        <v>0.17603051195540562</v>
      </c>
      <c r="S100" s="60">
        <f>SUM(S98:S99)</f>
        <v>4</v>
      </c>
      <c r="T100" s="67">
        <f t="shared" si="109"/>
        <v>0.05867683731846853</v>
      </c>
      <c r="U100" s="62">
        <f t="shared" si="110"/>
        <v>3.669724770642202</v>
      </c>
      <c r="V100" s="60">
        <f>SUM(V98:V99)</f>
        <v>1100</v>
      </c>
      <c r="W100" s="68">
        <f t="shared" si="111"/>
        <v>16.136130262578845</v>
      </c>
    </row>
    <row r="101" spans="1:23" ht="9.75" customHeight="1">
      <c r="A101" s="187" t="s">
        <v>27</v>
      </c>
      <c r="B101" s="69" t="s">
        <v>34</v>
      </c>
      <c r="C101" s="83">
        <v>4248</v>
      </c>
      <c r="D101" s="83">
        <v>2128</v>
      </c>
      <c r="E101" s="148">
        <f aca="true" t="shared" si="127" ref="E101:E109">D101/C101*100</f>
        <v>50.09416195856874</v>
      </c>
      <c r="F101" s="83">
        <v>848</v>
      </c>
      <c r="G101" s="44">
        <f t="shared" si="125"/>
        <v>39.849624060150376</v>
      </c>
      <c r="H101" s="45">
        <f aca="true" t="shared" si="128" ref="H101:H109">SUM(L101:Q101)</f>
        <v>62</v>
      </c>
      <c r="I101" s="46">
        <f aca="true" t="shared" si="129" ref="I101:I109">H101/F101*100</f>
        <v>7.311320754716981</v>
      </c>
      <c r="J101" s="45">
        <f aca="true" t="shared" si="130" ref="J101:J109">SUM(L101:O101)</f>
        <v>48</v>
      </c>
      <c r="K101" s="46">
        <f aca="true" t="shared" si="131" ref="K101:K109">J101/H101*100</f>
        <v>77.41935483870968</v>
      </c>
      <c r="L101" s="83">
        <v>10</v>
      </c>
      <c r="M101" s="83">
        <v>2</v>
      </c>
      <c r="N101" s="83">
        <v>0</v>
      </c>
      <c r="O101" s="83">
        <v>36</v>
      </c>
      <c r="P101" s="83">
        <v>5</v>
      </c>
      <c r="Q101" s="84">
        <v>9</v>
      </c>
      <c r="R101" s="48">
        <f aca="true" t="shared" si="132" ref="R101:R109">M101/F101*100</f>
        <v>0.2358490566037736</v>
      </c>
      <c r="S101" s="83">
        <v>1</v>
      </c>
      <c r="T101" s="49">
        <f aca="true" t="shared" si="133" ref="T101:T109">S101/F101*100</f>
        <v>0.1179245283018868</v>
      </c>
      <c r="U101" s="44">
        <f aca="true" t="shared" si="134" ref="U101:U109">M101/J101*100</f>
        <v>4.166666666666666</v>
      </c>
      <c r="V101" s="83">
        <v>234</v>
      </c>
      <c r="W101" s="50">
        <f aca="true" t="shared" si="135" ref="W101:W109">V101/F101*100</f>
        <v>27.594339622641513</v>
      </c>
    </row>
    <row r="102" spans="1:23" ht="9.75" customHeight="1">
      <c r="A102" s="188"/>
      <c r="B102" s="72" t="s">
        <v>35</v>
      </c>
      <c r="C102" s="73">
        <v>5101</v>
      </c>
      <c r="D102" s="73">
        <v>3270</v>
      </c>
      <c r="E102" s="147">
        <f t="shared" si="127"/>
        <v>64.1050774357969</v>
      </c>
      <c r="F102" s="73">
        <v>1168</v>
      </c>
      <c r="G102" s="53">
        <f t="shared" si="125"/>
        <v>35.718654434250766</v>
      </c>
      <c r="H102" s="54">
        <f t="shared" si="128"/>
        <v>89</v>
      </c>
      <c r="I102" s="55">
        <f t="shared" si="129"/>
        <v>7.61986301369863</v>
      </c>
      <c r="J102" s="54">
        <f t="shared" si="130"/>
        <v>70</v>
      </c>
      <c r="K102" s="55">
        <f t="shared" si="131"/>
        <v>78.65168539325843</v>
      </c>
      <c r="L102" s="73">
        <v>28</v>
      </c>
      <c r="M102" s="73">
        <v>2</v>
      </c>
      <c r="N102" s="73">
        <v>0</v>
      </c>
      <c r="O102" s="73">
        <v>40</v>
      </c>
      <c r="P102" s="73">
        <v>9</v>
      </c>
      <c r="Q102" s="75">
        <v>10</v>
      </c>
      <c r="R102" s="57">
        <f t="shared" si="132"/>
        <v>0.17123287671232876</v>
      </c>
      <c r="S102" s="73">
        <v>1</v>
      </c>
      <c r="T102" s="58">
        <f t="shared" si="133"/>
        <v>0.08561643835616438</v>
      </c>
      <c r="U102" s="53">
        <f t="shared" si="134"/>
        <v>2.857142857142857</v>
      </c>
      <c r="V102" s="73">
        <v>245</v>
      </c>
      <c r="W102" s="59">
        <f t="shared" si="135"/>
        <v>20.976027397260275</v>
      </c>
    </row>
    <row r="103" spans="1:23" ht="9.75" customHeight="1">
      <c r="A103" s="189"/>
      <c r="B103" s="51" t="s">
        <v>10</v>
      </c>
      <c r="C103" s="60">
        <f>SUM(C101:C102)</f>
        <v>9349</v>
      </c>
      <c r="D103" s="60">
        <f>SUM(D101:D102)</f>
        <v>5398</v>
      </c>
      <c r="E103" s="149">
        <f t="shared" si="127"/>
        <v>57.73879559311156</v>
      </c>
      <c r="F103" s="60">
        <f>SUM(F101:F102)</f>
        <v>2016</v>
      </c>
      <c r="G103" s="62">
        <f t="shared" si="125"/>
        <v>37.34716561689515</v>
      </c>
      <c r="H103" s="63">
        <f t="shared" si="128"/>
        <v>151</v>
      </c>
      <c r="I103" s="64">
        <f t="shared" si="129"/>
        <v>7.490079365079365</v>
      </c>
      <c r="J103" s="63">
        <f t="shared" si="130"/>
        <v>118</v>
      </c>
      <c r="K103" s="64">
        <f t="shared" si="131"/>
        <v>78.1456953642384</v>
      </c>
      <c r="L103" s="60">
        <f aca="true" t="shared" si="136" ref="L103:Q103">SUM(L101:L102)</f>
        <v>38</v>
      </c>
      <c r="M103" s="60">
        <f t="shared" si="136"/>
        <v>4</v>
      </c>
      <c r="N103" s="60">
        <f t="shared" si="136"/>
        <v>0</v>
      </c>
      <c r="O103" s="60">
        <f t="shared" si="136"/>
        <v>76</v>
      </c>
      <c r="P103" s="60">
        <f t="shared" si="136"/>
        <v>14</v>
      </c>
      <c r="Q103" s="65">
        <f t="shared" si="136"/>
        <v>19</v>
      </c>
      <c r="R103" s="66">
        <f t="shared" si="132"/>
        <v>0.1984126984126984</v>
      </c>
      <c r="S103" s="60">
        <f>SUM(S101:S102)</f>
        <v>2</v>
      </c>
      <c r="T103" s="67">
        <f t="shared" si="133"/>
        <v>0.0992063492063492</v>
      </c>
      <c r="U103" s="62">
        <f t="shared" si="134"/>
        <v>3.389830508474576</v>
      </c>
      <c r="V103" s="60">
        <f>SUM(V101:V102)</f>
        <v>479</v>
      </c>
      <c r="W103" s="68">
        <f t="shared" si="135"/>
        <v>23.759920634920633</v>
      </c>
    </row>
    <row r="104" spans="1:23" ht="9.75" customHeight="1">
      <c r="A104" s="187" t="s">
        <v>28</v>
      </c>
      <c r="B104" s="42" t="s">
        <v>34</v>
      </c>
      <c r="C104" s="83">
        <v>1844</v>
      </c>
      <c r="D104" s="83">
        <v>668</v>
      </c>
      <c r="E104" s="148">
        <f t="shared" si="127"/>
        <v>36.22559652928417</v>
      </c>
      <c r="F104" s="83">
        <v>412</v>
      </c>
      <c r="G104" s="44">
        <f t="shared" si="125"/>
        <v>61.67664670658682</v>
      </c>
      <c r="H104" s="45">
        <f t="shared" si="128"/>
        <v>24</v>
      </c>
      <c r="I104" s="46">
        <f t="shared" si="129"/>
        <v>5.825242718446602</v>
      </c>
      <c r="J104" s="45">
        <f t="shared" si="130"/>
        <v>21</v>
      </c>
      <c r="K104" s="46">
        <f t="shared" si="131"/>
        <v>87.5</v>
      </c>
      <c r="L104" s="83">
        <v>4</v>
      </c>
      <c r="M104" s="83">
        <v>0</v>
      </c>
      <c r="N104" s="83">
        <v>0</v>
      </c>
      <c r="O104" s="83">
        <v>17</v>
      </c>
      <c r="P104" s="83">
        <v>0</v>
      </c>
      <c r="Q104" s="84">
        <v>3</v>
      </c>
      <c r="R104" s="48">
        <f t="shared" si="132"/>
        <v>0</v>
      </c>
      <c r="S104" s="83">
        <v>0</v>
      </c>
      <c r="T104" s="49">
        <f t="shared" si="133"/>
        <v>0</v>
      </c>
      <c r="U104" s="44">
        <f t="shared" si="134"/>
        <v>0</v>
      </c>
      <c r="V104" s="83">
        <v>40</v>
      </c>
      <c r="W104" s="50">
        <f t="shared" si="135"/>
        <v>9.70873786407767</v>
      </c>
    </row>
    <row r="105" spans="1:23" ht="9.75" customHeight="1">
      <c r="A105" s="188"/>
      <c r="B105" s="51" t="s">
        <v>35</v>
      </c>
      <c r="C105" s="73">
        <v>2091</v>
      </c>
      <c r="D105" s="73">
        <v>787</v>
      </c>
      <c r="E105" s="147">
        <f t="shared" si="127"/>
        <v>37.637494021999046</v>
      </c>
      <c r="F105" s="73">
        <v>500</v>
      </c>
      <c r="G105" s="53">
        <f t="shared" si="125"/>
        <v>63.53240152477764</v>
      </c>
      <c r="H105" s="54">
        <f t="shared" si="128"/>
        <v>18</v>
      </c>
      <c r="I105" s="55">
        <f t="shared" si="129"/>
        <v>3.5999999999999996</v>
      </c>
      <c r="J105" s="54">
        <f t="shared" si="130"/>
        <v>14</v>
      </c>
      <c r="K105" s="55">
        <f t="shared" si="131"/>
        <v>77.77777777777779</v>
      </c>
      <c r="L105" s="73">
        <v>6</v>
      </c>
      <c r="M105" s="73">
        <v>0</v>
      </c>
      <c r="N105" s="73">
        <v>0</v>
      </c>
      <c r="O105" s="73">
        <v>8</v>
      </c>
      <c r="P105" s="73">
        <v>0</v>
      </c>
      <c r="Q105" s="75">
        <v>4</v>
      </c>
      <c r="R105" s="57">
        <f t="shared" si="132"/>
        <v>0</v>
      </c>
      <c r="S105" s="73">
        <v>0</v>
      </c>
      <c r="T105" s="58">
        <f t="shared" si="133"/>
        <v>0</v>
      </c>
      <c r="U105" s="53">
        <f t="shared" si="134"/>
        <v>0</v>
      </c>
      <c r="V105" s="73">
        <v>29</v>
      </c>
      <c r="W105" s="59">
        <f t="shared" si="135"/>
        <v>5.800000000000001</v>
      </c>
    </row>
    <row r="106" spans="1:23" ht="9.75" customHeight="1">
      <c r="A106" s="189"/>
      <c r="B106" s="51" t="s">
        <v>10</v>
      </c>
      <c r="C106" s="60">
        <f>SUM(C104:C105)</f>
        <v>3935</v>
      </c>
      <c r="D106" s="60">
        <f>SUM(D104:D105)</f>
        <v>1455</v>
      </c>
      <c r="E106" s="149">
        <f t="shared" si="127"/>
        <v>36.975857687420586</v>
      </c>
      <c r="F106" s="60">
        <f>SUM(F104:F105)</f>
        <v>912</v>
      </c>
      <c r="G106" s="62">
        <f t="shared" si="125"/>
        <v>62.68041237113402</v>
      </c>
      <c r="H106" s="63">
        <f t="shared" si="128"/>
        <v>42</v>
      </c>
      <c r="I106" s="64">
        <f t="shared" si="129"/>
        <v>4.605263157894736</v>
      </c>
      <c r="J106" s="63">
        <f t="shared" si="130"/>
        <v>35</v>
      </c>
      <c r="K106" s="64">
        <f t="shared" si="131"/>
        <v>83.33333333333334</v>
      </c>
      <c r="L106" s="60">
        <f aca="true" t="shared" si="137" ref="L106:Q106">SUM(L104:L105)</f>
        <v>10</v>
      </c>
      <c r="M106" s="60">
        <f t="shared" si="137"/>
        <v>0</v>
      </c>
      <c r="N106" s="60">
        <f t="shared" si="137"/>
        <v>0</v>
      </c>
      <c r="O106" s="60">
        <f t="shared" si="137"/>
        <v>25</v>
      </c>
      <c r="P106" s="60">
        <f t="shared" si="137"/>
        <v>0</v>
      </c>
      <c r="Q106" s="65">
        <f t="shared" si="137"/>
        <v>7</v>
      </c>
      <c r="R106" s="66">
        <f t="shared" si="132"/>
        <v>0</v>
      </c>
      <c r="S106" s="60">
        <f>SUM(S104:S105)</f>
        <v>0</v>
      </c>
      <c r="T106" s="67">
        <f t="shared" si="133"/>
        <v>0</v>
      </c>
      <c r="U106" s="62">
        <f t="shared" si="134"/>
        <v>0</v>
      </c>
      <c r="V106" s="60">
        <f>SUM(V104:V105)</f>
        <v>69</v>
      </c>
      <c r="W106" s="68">
        <f t="shared" si="135"/>
        <v>7.565789473684211</v>
      </c>
    </row>
    <row r="107" spans="1:23" ht="9.75" customHeight="1">
      <c r="A107" s="187" t="s">
        <v>29</v>
      </c>
      <c r="B107" s="69" t="s">
        <v>34</v>
      </c>
      <c r="C107" s="83">
        <v>4915</v>
      </c>
      <c r="D107" s="83">
        <v>1101</v>
      </c>
      <c r="E107" s="148">
        <f t="shared" si="127"/>
        <v>22.40081383519837</v>
      </c>
      <c r="F107" s="83">
        <v>815</v>
      </c>
      <c r="G107" s="44">
        <f t="shared" si="125"/>
        <v>74.0236148955495</v>
      </c>
      <c r="H107" s="45">
        <f t="shared" si="128"/>
        <v>50</v>
      </c>
      <c r="I107" s="46">
        <f t="shared" si="129"/>
        <v>6.134969325153374</v>
      </c>
      <c r="J107" s="45">
        <f t="shared" si="130"/>
        <v>29</v>
      </c>
      <c r="K107" s="46">
        <f t="shared" si="131"/>
        <v>57.99999999999999</v>
      </c>
      <c r="L107" s="83">
        <v>5</v>
      </c>
      <c r="M107" s="83">
        <v>0</v>
      </c>
      <c r="N107" s="83">
        <v>0</v>
      </c>
      <c r="O107" s="83">
        <v>24</v>
      </c>
      <c r="P107" s="83">
        <v>0</v>
      </c>
      <c r="Q107" s="84">
        <v>21</v>
      </c>
      <c r="R107" s="48">
        <f t="shared" si="132"/>
        <v>0</v>
      </c>
      <c r="S107" s="83">
        <v>0</v>
      </c>
      <c r="T107" s="49">
        <f t="shared" si="133"/>
        <v>0</v>
      </c>
      <c r="U107" s="44">
        <f t="shared" si="134"/>
        <v>0</v>
      </c>
      <c r="V107" s="83">
        <v>100</v>
      </c>
      <c r="W107" s="50">
        <f t="shared" si="135"/>
        <v>12.269938650306749</v>
      </c>
    </row>
    <row r="108" spans="1:23" ht="9.75" customHeight="1">
      <c r="A108" s="188"/>
      <c r="B108" s="72" t="s">
        <v>35</v>
      </c>
      <c r="C108" s="73">
        <v>5915</v>
      </c>
      <c r="D108" s="73">
        <v>1507</v>
      </c>
      <c r="E108" s="147">
        <f t="shared" si="127"/>
        <v>25.477599323753168</v>
      </c>
      <c r="F108" s="73">
        <v>1166</v>
      </c>
      <c r="G108" s="53">
        <f t="shared" si="125"/>
        <v>77.37226277372264</v>
      </c>
      <c r="H108" s="54">
        <f t="shared" si="128"/>
        <v>50</v>
      </c>
      <c r="I108" s="55">
        <f t="shared" si="129"/>
        <v>4.288164665523156</v>
      </c>
      <c r="J108" s="54">
        <f t="shared" si="130"/>
        <v>27</v>
      </c>
      <c r="K108" s="55">
        <f t="shared" si="131"/>
        <v>54</v>
      </c>
      <c r="L108" s="73">
        <v>7</v>
      </c>
      <c r="M108" s="73">
        <v>0</v>
      </c>
      <c r="N108" s="73">
        <v>0</v>
      </c>
      <c r="O108" s="73">
        <v>20</v>
      </c>
      <c r="P108" s="73">
        <v>0</v>
      </c>
      <c r="Q108" s="75">
        <v>23</v>
      </c>
      <c r="R108" s="57">
        <f t="shared" si="132"/>
        <v>0</v>
      </c>
      <c r="S108" s="73">
        <v>0</v>
      </c>
      <c r="T108" s="58">
        <f t="shared" si="133"/>
        <v>0</v>
      </c>
      <c r="U108" s="53">
        <f t="shared" si="134"/>
        <v>0</v>
      </c>
      <c r="V108" s="73">
        <v>98</v>
      </c>
      <c r="W108" s="59">
        <f t="shared" si="135"/>
        <v>8.404802744425385</v>
      </c>
    </row>
    <row r="109" spans="1:23" ht="9.75" customHeight="1" thickBot="1">
      <c r="A109" s="188"/>
      <c r="B109" s="69" t="s">
        <v>10</v>
      </c>
      <c r="C109" s="70">
        <f>SUM(C107:C108)</f>
        <v>10830</v>
      </c>
      <c r="D109" s="70">
        <f>SUM(D107:D108)</f>
        <v>2608</v>
      </c>
      <c r="E109" s="149">
        <f t="shared" si="127"/>
        <v>24.081255771006465</v>
      </c>
      <c r="F109" s="70">
        <f>SUM(F107:F108)</f>
        <v>1981</v>
      </c>
      <c r="G109" s="62">
        <f t="shared" si="125"/>
        <v>75.95858895705521</v>
      </c>
      <c r="H109" s="63">
        <f t="shared" si="128"/>
        <v>100</v>
      </c>
      <c r="I109" s="64">
        <f t="shared" si="129"/>
        <v>5.047955577990914</v>
      </c>
      <c r="J109" s="63">
        <f t="shared" si="130"/>
        <v>56</v>
      </c>
      <c r="K109" s="64">
        <f t="shared" si="131"/>
        <v>56.00000000000001</v>
      </c>
      <c r="L109" s="70">
        <f aca="true" t="shared" si="138" ref="L109:Q109">SUM(L107:L108)</f>
        <v>12</v>
      </c>
      <c r="M109" s="70">
        <f t="shared" si="138"/>
        <v>0</v>
      </c>
      <c r="N109" s="70">
        <f t="shared" si="138"/>
        <v>0</v>
      </c>
      <c r="O109" s="70">
        <f t="shared" si="138"/>
        <v>44</v>
      </c>
      <c r="P109" s="70">
        <f t="shared" si="138"/>
        <v>0</v>
      </c>
      <c r="Q109" s="71">
        <f t="shared" si="138"/>
        <v>44</v>
      </c>
      <c r="R109" s="66">
        <f t="shared" si="132"/>
        <v>0</v>
      </c>
      <c r="S109" s="70">
        <f>SUM(S107:S108)</f>
        <v>0</v>
      </c>
      <c r="T109" s="67">
        <f t="shared" si="133"/>
        <v>0</v>
      </c>
      <c r="U109" s="62">
        <f t="shared" si="134"/>
        <v>0</v>
      </c>
      <c r="V109" s="70">
        <f>SUM(V107:V108)</f>
        <v>198</v>
      </c>
      <c r="W109" s="68">
        <f t="shared" si="135"/>
        <v>9.994952044422009</v>
      </c>
    </row>
    <row r="110" spans="1:23" ht="9.75" customHeight="1">
      <c r="A110" s="190" t="s">
        <v>85</v>
      </c>
      <c r="B110" s="18" t="s">
        <v>34</v>
      </c>
      <c r="C110" s="19">
        <f>SUM(C98,,C101,C104,C107,)</f>
        <v>38901</v>
      </c>
      <c r="D110" s="19">
        <f>SUM(D98,,D101,D104,D107,)</f>
        <v>15574</v>
      </c>
      <c r="E110" s="143">
        <f aca="true" t="shared" si="139" ref="E110:E115">D110/C110*100</f>
        <v>40.03496054086013</v>
      </c>
      <c r="F110" s="19">
        <f>SUM(F98,,F101,F104,F107,)</f>
        <v>4538</v>
      </c>
      <c r="G110" s="20">
        <f>F110/D110*100</f>
        <v>29.138307435469375</v>
      </c>
      <c r="H110" s="21">
        <f aca="true" t="shared" si="140" ref="H110:H115">SUM(L110:Q110)</f>
        <v>335</v>
      </c>
      <c r="I110" s="22">
        <f aca="true" t="shared" si="141" ref="I110:I115">H110/F110*100</f>
        <v>7.382106654914058</v>
      </c>
      <c r="J110" s="21">
        <f aca="true" t="shared" si="142" ref="J110:J115">SUM(L110:O110)</f>
        <v>235</v>
      </c>
      <c r="K110" s="22">
        <f>J110/H110*100</f>
        <v>70.1492537313433</v>
      </c>
      <c r="L110" s="19">
        <f aca="true" t="shared" si="143" ref="L110:Q111">SUM(L98,,L101,L104,L107,)</f>
        <v>60</v>
      </c>
      <c r="M110" s="19">
        <f t="shared" si="143"/>
        <v>6</v>
      </c>
      <c r="N110" s="19">
        <f t="shared" si="143"/>
        <v>1</v>
      </c>
      <c r="O110" s="19">
        <f t="shared" si="143"/>
        <v>168</v>
      </c>
      <c r="P110" s="19">
        <f t="shared" si="143"/>
        <v>5</v>
      </c>
      <c r="Q110" s="23">
        <f t="shared" si="143"/>
        <v>95</v>
      </c>
      <c r="R110" s="24">
        <f aca="true" t="shared" si="144" ref="R110:R115">M110/F110*100</f>
        <v>0.13221683561040104</v>
      </c>
      <c r="S110" s="19">
        <f>SUM(S98,,S101,S104,S107,)</f>
        <v>1</v>
      </c>
      <c r="T110" s="25">
        <f aca="true" t="shared" si="145" ref="T110:T115">S110/F110*100</f>
        <v>0.022036139268400177</v>
      </c>
      <c r="U110" s="20">
        <f aca="true" t="shared" si="146" ref="U110:U115">M110/J110*100</f>
        <v>2.553191489361702</v>
      </c>
      <c r="V110" s="19">
        <f>SUM(V98,,V101,V104,V107,)</f>
        <v>787</v>
      </c>
      <c r="W110" s="26">
        <f aca="true" t="shared" si="147" ref="W110:W115">V110/F110*100</f>
        <v>17.342441604230938</v>
      </c>
    </row>
    <row r="111" spans="1:23" ht="9.75" customHeight="1">
      <c r="A111" s="191"/>
      <c r="B111" s="27" t="s">
        <v>35</v>
      </c>
      <c r="C111" s="28">
        <f>SUM(C99,,C102,C105,C108,)</f>
        <v>46587</v>
      </c>
      <c r="D111" s="28">
        <f>SUM(D99,,D102,D105,D108,)</f>
        <v>26202</v>
      </c>
      <c r="E111" s="145">
        <f t="shared" si="139"/>
        <v>56.24315796252173</v>
      </c>
      <c r="F111" s="28">
        <f>SUM(F99,,F102,F105,F108,)</f>
        <v>7188</v>
      </c>
      <c r="G111" s="29">
        <f>F111/D111*100</f>
        <v>27.433020380123658</v>
      </c>
      <c r="H111" s="30">
        <f t="shared" si="140"/>
        <v>410</v>
      </c>
      <c r="I111" s="31">
        <f t="shared" si="141"/>
        <v>5.7039510294936004</v>
      </c>
      <c r="J111" s="30">
        <f t="shared" si="142"/>
        <v>301</v>
      </c>
      <c r="K111" s="31">
        <f>J111/H111*100</f>
        <v>73.41463414634146</v>
      </c>
      <c r="L111" s="28">
        <f t="shared" si="143"/>
        <v>114</v>
      </c>
      <c r="M111" s="28">
        <f t="shared" si="143"/>
        <v>10</v>
      </c>
      <c r="N111" s="28">
        <f t="shared" si="143"/>
        <v>1</v>
      </c>
      <c r="O111" s="28">
        <f t="shared" si="143"/>
        <v>176</v>
      </c>
      <c r="P111" s="28">
        <f t="shared" si="143"/>
        <v>9</v>
      </c>
      <c r="Q111" s="32">
        <f t="shared" si="143"/>
        <v>100</v>
      </c>
      <c r="R111" s="33">
        <f t="shared" si="144"/>
        <v>0.13912075681691707</v>
      </c>
      <c r="S111" s="28">
        <f>SUM(S99,,S102,S105,S108,)</f>
        <v>5</v>
      </c>
      <c r="T111" s="34">
        <f t="shared" si="145"/>
        <v>0.06956037840845854</v>
      </c>
      <c r="U111" s="29">
        <f t="shared" si="146"/>
        <v>3.322259136212625</v>
      </c>
      <c r="V111" s="28">
        <f>SUM(V99,,V102,V105,V108,)</f>
        <v>1059</v>
      </c>
      <c r="W111" s="35">
        <f t="shared" si="147"/>
        <v>14.732888146911518</v>
      </c>
    </row>
    <row r="112" spans="1:23" ht="9.75" customHeight="1" thickBot="1">
      <c r="A112" s="192"/>
      <c r="B112" s="36" t="s">
        <v>10</v>
      </c>
      <c r="C112" s="79">
        <f>SUM(C110:C111)</f>
        <v>85488</v>
      </c>
      <c r="D112" s="79">
        <f>SUM(D110:D111)</f>
        <v>41776</v>
      </c>
      <c r="E112" s="146">
        <f t="shared" si="139"/>
        <v>48.86767733483062</v>
      </c>
      <c r="F112" s="79">
        <f>SUM(F110:F111)</f>
        <v>11726</v>
      </c>
      <c r="G112" s="38">
        <f>F112/D112*100</f>
        <v>28.068747606281118</v>
      </c>
      <c r="H112" s="37">
        <f t="shared" si="140"/>
        <v>745</v>
      </c>
      <c r="I112" s="38">
        <f t="shared" si="141"/>
        <v>6.35340269486611</v>
      </c>
      <c r="J112" s="37">
        <f t="shared" si="142"/>
        <v>536</v>
      </c>
      <c r="K112" s="38">
        <f>J112/H112*100</f>
        <v>71.94630872483222</v>
      </c>
      <c r="L112" s="79">
        <f aca="true" t="shared" si="148" ref="L112:Q112">SUM(L110:L111)</f>
        <v>174</v>
      </c>
      <c r="M112" s="79">
        <f t="shared" si="148"/>
        <v>16</v>
      </c>
      <c r="N112" s="79">
        <f t="shared" si="148"/>
        <v>2</v>
      </c>
      <c r="O112" s="79">
        <f t="shared" si="148"/>
        <v>344</v>
      </c>
      <c r="P112" s="79">
        <f t="shared" si="148"/>
        <v>14</v>
      </c>
      <c r="Q112" s="80">
        <f t="shared" si="148"/>
        <v>195</v>
      </c>
      <c r="R112" s="39">
        <f t="shared" si="144"/>
        <v>0.13644891693672181</v>
      </c>
      <c r="S112" s="79">
        <f>SUM(S110:S111)</f>
        <v>6</v>
      </c>
      <c r="T112" s="40">
        <f t="shared" si="145"/>
        <v>0.051168343851270684</v>
      </c>
      <c r="U112" s="38">
        <f t="shared" si="146"/>
        <v>2.9850746268656714</v>
      </c>
      <c r="V112" s="79">
        <f>SUM(V110:V111)</f>
        <v>1846</v>
      </c>
      <c r="W112" s="41">
        <f t="shared" si="147"/>
        <v>15.74279379157428</v>
      </c>
    </row>
    <row r="113" spans="1:23" ht="9.75" customHeight="1">
      <c r="A113" s="182" t="s">
        <v>115</v>
      </c>
      <c r="B113" s="42" t="s">
        <v>34</v>
      </c>
      <c r="C113" s="83">
        <v>9533</v>
      </c>
      <c r="D113" s="83">
        <v>2865</v>
      </c>
      <c r="E113" s="148">
        <f t="shared" si="139"/>
        <v>30.053498374069022</v>
      </c>
      <c r="F113" s="83">
        <v>2205</v>
      </c>
      <c r="G113" s="44">
        <f aca="true" t="shared" si="149" ref="G113:G124">F113/D113*100</f>
        <v>76.96335078534031</v>
      </c>
      <c r="H113" s="45">
        <f t="shared" si="140"/>
        <v>147</v>
      </c>
      <c r="I113" s="46">
        <f t="shared" si="141"/>
        <v>6.666666666666667</v>
      </c>
      <c r="J113" s="45">
        <f t="shared" si="142"/>
        <v>88</v>
      </c>
      <c r="K113" s="46">
        <f>J113/H113*100</f>
        <v>59.863945578231295</v>
      </c>
      <c r="L113" s="83">
        <v>14</v>
      </c>
      <c r="M113" s="83">
        <v>3</v>
      </c>
      <c r="N113" s="83">
        <v>0</v>
      </c>
      <c r="O113" s="83">
        <v>71</v>
      </c>
      <c r="P113" s="83">
        <v>0</v>
      </c>
      <c r="Q113" s="84">
        <v>59</v>
      </c>
      <c r="R113" s="48">
        <f t="shared" si="144"/>
        <v>0.13605442176870747</v>
      </c>
      <c r="S113" s="83">
        <v>2</v>
      </c>
      <c r="T113" s="49">
        <f t="shared" si="145"/>
        <v>0.09070294784580499</v>
      </c>
      <c r="U113" s="44">
        <f t="shared" si="146"/>
        <v>3.4090909090909087</v>
      </c>
      <c r="V113" s="83">
        <v>211</v>
      </c>
      <c r="W113" s="50">
        <f t="shared" si="147"/>
        <v>9.569160997732427</v>
      </c>
    </row>
    <row r="114" spans="1:23" ht="9.75" customHeight="1">
      <c r="A114" s="182"/>
      <c r="B114" s="51" t="s">
        <v>35</v>
      </c>
      <c r="C114" s="73">
        <v>11541</v>
      </c>
      <c r="D114" s="73">
        <v>3834</v>
      </c>
      <c r="E114" s="147">
        <f t="shared" si="139"/>
        <v>33.220691447881464</v>
      </c>
      <c r="F114" s="73">
        <v>3035</v>
      </c>
      <c r="G114" s="53">
        <f t="shared" si="149"/>
        <v>79.16014606155451</v>
      </c>
      <c r="H114" s="54">
        <f t="shared" si="140"/>
        <v>177</v>
      </c>
      <c r="I114" s="55">
        <f t="shared" si="141"/>
        <v>5.831960461285008</v>
      </c>
      <c r="J114" s="54">
        <f t="shared" si="142"/>
        <v>115</v>
      </c>
      <c r="K114" s="55">
        <f>J114/H114*100</f>
        <v>64.97175141242938</v>
      </c>
      <c r="L114" s="73">
        <v>32</v>
      </c>
      <c r="M114" s="73">
        <v>2</v>
      </c>
      <c r="N114" s="73">
        <v>0</v>
      </c>
      <c r="O114" s="73">
        <v>81</v>
      </c>
      <c r="P114" s="73">
        <v>0</v>
      </c>
      <c r="Q114" s="75">
        <v>62</v>
      </c>
      <c r="R114" s="57">
        <f t="shared" si="144"/>
        <v>0.06589785831960461</v>
      </c>
      <c r="S114" s="73">
        <v>2</v>
      </c>
      <c r="T114" s="58">
        <f t="shared" si="145"/>
        <v>0.06589785831960461</v>
      </c>
      <c r="U114" s="53">
        <f t="shared" si="146"/>
        <v>1.7391304347826086</v>
      </c>
      <c r="V114" s="73">
        <v>194</v>
      </c>
      <c r="W114" s="59">
        <f t="shared" si="147"/>
        <v>6.3920922570016465</v>
      </c>
    </row>
    <row r="115" spans="1:23" ht="9.75" customHeight="1">
      <c r="A115" s="186"/>
      <c r="B115" s="51" t="s">
        <v>10</v>
      </c>
      <c r="C115" s="60">
        <f>SUM(C113:C114)</f>
        <v>21074</v>
      </c>
      <c r="D115" s="60">
        <f>SUM(D113:D114)</f>
        <v>6699</v>
      </c>
      <c r="E115" s="149">
        <f t="shared" si="139"/>
        <v>31.787985195027048</v>
      </c>
      <c r="F115" s="60">
        <f>SUM(F113:F114)</f>
        <v>5240</v>
      </c>
      <c r="G115" s="62">
        <f t="shared" si="149"/>
        <v>78.22062994476788</v>
      </c>
      <c r="H115" s="63">
        <f t="shared" si="140"/>
        <v>324</v>
      </c>
      <c r="I115" s="64">
        <f t="shared" si="141"/>
        <v>6.183206106870228</v>
      </c>
      <c r="J115" s="63">
        <f t="shared" si="142"/>
        <v>203</v>
      </c>
      <c r="K115" s="64">
        <f>J115/H115*100</f>
        <v>62.65432098765432</v>
      </c>
      <c r="L115" s="60">
        <f aca="true" t="shared" si="150" ref="L115:Q115">SUM(L113:L114)</f>
        <v>46</v>
      </c>
      <c r="M115" s="60">
        <f t="shared" si="150"/>
        <v>5</v>
      </c>
      <c r="N115" s="60">
        <f t="shared" si="150"/>
        <v>0</v>
      </c>
      <c r="O115" s="60">
        <f t="shared" si="150"/>
        <v>152</v>
      </c>
      <c r="P115" s="60">
        <f t="shared" si="150"/>
        <v>0</v>
      </c>
      <c r="Q115" s="65">
        <f t="shared" si="150"/>
        <v>121</v>
      </c>
      <c r="R115" s="66">
        <f t="shared" si="144"/>
        <v>0.09541984732824427</v>
      </c>
      <c r="S115" s="60">
        <f>SUM(S113:S114)</f>
        <v>4</v>
      </c>
      <c r="T115" s="67">
        <f t="shared" si="145"/>
        <v>0.07633587786259542</v>
      </c>
      <c r="U115" s="62">
        <f t="shared" si="146"/>
        <v>2.4630541871921183</v>
      </c>
      <c r="V115" s="60">
        <f>SUM(V113:V114)</f>
        <v>405</v>
      </c>
      <c r="W115" s="68">
        <f t="shared" si="147"/>
        <v>7.729007633587787</v>
      </c>
    </row>
    <row r="116" spans="1:23" ht="9.75" customHeight="1">
      <c r="A116" s="187" t="s">
        <v>30</v>
      </c>
      <c r="B116" s="85" t="s">
        <v>34</v>
      </c>
      <c r="C116" s="83">
        <v>3036</v>
      </c>
      <c r="D116" s="83">
        <v>910</v>
      </c>
      <c r="E116" s="148">
        <f aca="true" t="shared" si="151" ref="E116:E124">D116/C116*100</f>
        <v>29.97364953886693</v>
      </c>
      <c r="F116" s="83">
        <v>631</v>
      </c>
      <c r="G116" s="44">
        <f t="shared" si="149"/>
        <v>69.34065934065934</v>
      </c>
      <c r="H116" s="45">
        <f aca="true" t="shared" si="152" ref="H116:H124">SUM(L116:Q116)</f>
        <v>30</v>
      </c>
      <c r="I116" s="46">
        <f aca="true" t="shared" si="153" ref="I116:I124">H116/F116*100</f>
        <v>4.754358161648177</v>
      </c>
      <c r="J116" s="45">
        <f aca="true" t="shared" si="154" ref="J116:J124">SUM(L116:O116)</f>
        <v>25</v>
      </c>
      <c r="K116" s="46">
        <f aca="true" t="shared" si="155" ref="K116:K124">J116/H116*100</f>
        <v>83.33333333333334</v>
      </c>
      <c r="L116" s="83">
        <v>7</v>
      </c>
      <c r="M116" s="83">
        <v>1</v>
      </c>
      <c r="N116" s="83">
        <v>0</v>
      </c>
      <c r="O116" s="83">
        <v>17</v>
      </c>
      <c r="P116" s="83">
        <v>0</v>
      </c>
      <c r="Q116" s="84">
        <v>5</v>
      </c>
      <c r="R116" s="48">
        <f aca="true" t="shared" si="156" ref="R116:R124">M116/F116*100</f>
        <v>0.15847860538827258</v>
      </c>
      <c r="S116" s="83">
        <v>0</v>
      </c>
      <c r="T116" s="49">
        <f aca="true" t="shared" si="157" ref="T116:T124">S116/F116*100</f>
        <v>0</v>
      </c>
      <c r="U116" s="44">
        <f aca="true" t="shared" si="158" ref="U116:U123">M116/J116*100</f>
        <v>4</v>
      </c>
      <c r="V116" s="83">
        <v>69</v>
      </c>
      <c r="W116" s="50">
        <f aca="true" t="shared" si="159" ref="W116:W124">V116/F116*100</f>
        <v>10.935023771790808</v>
      </c>
    </row>
    <row r="117" spans="1:23" ht="9.75" customHeight="1">
      <c r="A117" s="188"/>
      <c r="B117" s="51" t="s">
        <v>35</v>
      </c>
      <c r="C117" s="73">
        <v>3612</v>
      </c>
      <c r="D117" s="73">
        <v>1331</v>
      </c>
      <c r="E117" s="147">
        <f t="shared" si="151"/>
        <v>36.84939091915836</v>
      </c>
      <c r="F117" s="73">
        <v>1013</v>
      </c>
      <c r="G117" s="53">
        <f t="shared" si="149"/>
        <v>76.10818933132983</v>
      </c>
      <c r="H117" s="54">
        <f t="shared" si="152"/>
        <v>43</v>
      </c>
      <c r="I117" s="55">
        <f t="shared" si="153"/>
        <v>4.244817374136229</v>
      </c>
      <c r="J117" s="54">
        <f t="shared" si="154"/>
        <v>31</v>
      </c>
      <c r="K117" s="55">
        <f t="shared" si="155"/>
        <v>72.09302325581395</v>
      </c>
      <c r="L117" s="73">
        <v>10</v>
      </c>
      <c r="M117" s="73">
        <v>0</v>
      </c>
      <c r="N117" s="73">
        <v>0</v>
      </c>
      <c r="O117" s="73">
        <v>21</v>
      </c>
      <c r="P117" s="73">
        <v>10</v>
      </c>
      <c r="Q117" s="75">
        <v>2</v>
      </c>
      <c r="R117" s="57">
        <f t="shared" si="156"/>
        <v>0</v>
      </c>
      <c r="S117" s="73">
        <v>0</v>
      </c>
      <c r="T117" s="58">
        <f t="shared" si="157"/>
        <v>0</v>
      </c>
      <c r="U117" s="53">
        <f t="shared" si="158"/>
        <v>0</v>
      </c>
      <c r="V117" s="73">
        <v>93</v>
      </c>
      <c r="W117" s="59">
        <f t="shared" si="159"/>
        <v>9.18065153010859</v>
      </c>
    </row>
    <row r="118" spans="1:23" ht="9.75" customHeight="1">
      <c r="A118" s="189"/>
      <c r="B118" s="51" t="s">
        <v>10</v>
      </c>
      <c r="C118" s="60">
        <f>SUM(C116:C117)</f>
        <v>6648</v>
      </c>
      <c r="D118" s="60">
        <f>SUM(D116:D117)</f>
        <v>2241</v>
      </c>
      <c r="E118" s="149">
        <f t="shared" si="151"/>
        <v>33.70938628158845</v>
      </c>
      <c r="F118" s="60">
        <f>SUM(F116:F117)</f>
        <v>1644</v>
      </c>
      <c r="G118" s="62">
        <f t="shared" si="149"/>
        <v>73.36010709504686</v>
      </c>
      <c r="H118" s="63">
        <f t="shared" si="152"/>
        <v>73</v>
      </c>
      <c r="I118" s="64">
        <f t="shared" si="153"/>
        <v>4.440389294403893</v>
      </c>
      <c r="J118" s="63">
        <f t="shared" si="154"/>
        <v>56</v>
      </c>
      <c r="K118" s="64">
        <f t="shared" si="155"/>
        <v>76.71232876712328</v>
      </c>
      <c r="L118" s="60">
        <f aca="true" t="shared" si="160" ref="L118:Q118">SUM(L116:L117)</f>
        <v>17</v>
      </c>
      <c r="M118" s="60">
        <f t="shared" si="160"/>
        <v>1</v>
      </c>
      <c r="N118" s="60">
        <f t="shared" si="160"/>
        <v>0</v>
      </c>
      <c r="O118" s="60">
        <f t="shared" si="160"/>
        <v>38</v>
      </c>
      <c r="P118" s="60">
        <f t="shared" si="160"/>
        <v>10</v>
      </c>
      <c r="Q118" s="65">
        <f t="shared" si="160"/>
        <v>7</v>
      </c>
      <c r="R118" s="66">
        <f t="shared" si="156"/>
        <v>0.06082725060827251</v>
      </c>
      <c r="S118" s="60">
        <f>SUM(S116:S117)</f>
        <v>0</v>
      </c>
      <c r="T118" s="67">
        <f t="shared" si="157"/>
        <v>0</v>
      </c>
      <c r="U118" s="62">
        <f t="shared" si="158"/>
        <v>1.7857142857142856</v>
      </c>
      <c r="V118" s="60">
        <f>SUM(V116:V117)</f>
        <v>162</v>
      </c>
      <c r="W118" s="68">
        <f t="shared" si="159"/>
        <v>9.854014598540147</v>
      </c>
    </row>
    <row r="119" spans="1:23" ht="9.75" customHeight="1">
      <c r="A119" s="187" t="s">
        <v>31</v>
      </c>
      <c r="B119" s="69" t="s">
        <v>34</v>
      </c>
      <c r="C119" s="83">
        <v>2198</v>
      </c>
      <c r="D119" s="83">
        <v>504</v>
      </c>
      <c r="E119" s="148">
        <f t="shared" si="151"/>
        <v>22.929936305732486</v>
      </c>
      <c r="F119" s="83">
        <v>448</v>
      </c>
      <c r="G119" s="44">
        <f t="shared" si="149"/>
        <v>88.88888888888889</v>
      </c>
      <c r="H119" s="45">
        <f t="shared" si="152"/>
        <v>31</v>
      </c>
      <c r="I119" s="46">
        <f t="shared" si="153"/>
        <v>6.919642857142858</v>
      </c>
      <c r="J119" s="45">
        <f t="shared" si="154"/>
        <v>21</v>
      </c>
      <c r="K119" s="46">
        <f t="shared" si="155"/>
        <v>67.74193548387096</v>
      </c>
      <c r="L119" s="83">
        <v>6</v>
      </c>
      <c r="M119" s="83">
        <v>1</v>
      </c>
      <c r="N119" s="83">
        <v>0</v>
      </c>
      <c r="O119" s="83">
        <v>14</v>
      </c>
      <c r="P119" s="83">
        <v>0</v>
      </c>
      <c r="Q119" s="84">
        <v>10</v>
      </c>
      <c r="R119" s="48">
        <f t="shared" si="156"/>
        <v>0.2232142857142857</v>
      </c>
      <c r="S119" s="83">
        <v>1</v>
      </c>
      <c r="T119" s="49">
        <f t="shared" si="157"/>
        <v>0.2232142857142857</v>
      </c>
      <c r="U119" s="44">
        <f t="shared" si="158"/>
        <v>4.761904761904762</v>
      </c>
      <c r="V119" s="83">
        <v>88</v>
      </c>
      <c r="W119" s="50">
        <f t="shared" si="159"/>
        <v>19.642857142857142</v>
      </c>
    </row>
    <row r="120" spans="1:23" ht="9.75" customHeight="1">
      <c r="A120" s="188"/>
      <c r="B120" s="72" t="s">
        <v>35</v>
      </c>
      <c r="C120" s="73">
        <v>2267</v>
      </c>
      <c r="D120" s="73">
        <v>756</v>
      </c>
      <c r="E120" s="147">
        <f t="shared" si="151"/>
        <v>33.348037053374505</v>
      </c>
      <c r="F120" s="73">
        <v>684</v>
      </c>
      <c r="G120" s="53">
        <f t="shared" si="149"/>
        <v>90.47619047619048</v>
      </c>
      <c r="H120" s="54">
        <f t="shared" si="152"/>
        <v>32</v>
      </c>
      <c r="I120" s="55">
        <f t="shared" si="153"/>
        <v>4.678362573099415</v>
      </c>
      <c r="J120" s="54">
        <f>SUM(L120:O120)</f>
        <v>23</v>
      </c>
      <c r="K120" s="55">
        <f t="shared" si="155"/>
        <v>71.875</v>
      </c>
      <c r="L120" s="73">
        <v>8</v>
      </c>
      <c r="M120" s="73">
        <v>0</v>
      </c>
      <c r="N120" s="73">
        <v>0</v>
      </c>
      <c r="O120" s="73">
        <v>15</v>
      </c>
      <c r="P120" s="73">
        <v>0</v>
      </c>
      <c r="Q120" s="75">
        <v>9</v>
      </c>
      <c r="R120" s="57">
        <f t="shared" si="156"/>
        <v>0</v>
      </c>
      <c r="S120" s="73">
        <v>0</v>
      </c>
      <c r="T120" s="58">
        <f t="shared" si="157"/>
        <v>0</v>
      </c>
      <c r="U120" s="53">
        <f t="shared" si="158"/>
        <v>0</v>
      </c>
      <c r="V120" s="73">
        <v>144</v>
      </c>
      <c r="W120" s="59">
        <f t="shared" si="159"/>
        <v>21.052631578947366</v>
      </c>
    </row>
    <row r="121" spans="1:23" ht="9.75" customHeight="1">
      <c r="A121" s="189"/>
      <c r="B121" s="51" t="s">
        <v>10</v>
      </c>
      <c r="C121" s="60">
        <f>SUM(C119:C120)</f>
        <v>4465</v>
      </c>
      <c r="D121" s="60">
        <f>SUM(D119:D120)</f>
        <v>1260</v>
      </c>
      <c r="E121" s="149">
        <f t="shared" si="151"/>
        <v>28.21948488241881</v>
      </c>
      <c r="F121" s="60">
        <f>SUM(F119:F120)</f>
        <v>1132</v>
      </c>
      <c r="G121" s="62">
        <f t="shared" si="149"/>
        <v>89.84126984126985</v>
      </c>
      <c r="H121" s="63">
        <f t="shared" si="152"/>
        <v>63</v>
      </c>
      <c r="I121" s="64">
        <f t="shared" si="153"/>
        <v>5.565371024734982</v>
      </c>
      <c r="J121" s="63">
        <f t="shared" si="154"/>
        <v>44</v>
      </c>
      <c r="K121" s="64">
        <f t="shared" si="155"/>
        <v>69.84126984126983</v>
      </c>
      <c r="L121" s="60">
        <f aca="true" t="shared" si="161" ref="L121:Q121">SUM(L119:L120)</f>
        <v>14</v>
      </c>
      <c r="M121" s="60">
        <f t="shared" si="161"/>
        <v>1</v>
      </c>
      <c r="N121" s="60">
        <f t="shared" si="161"/>
        <v>0</v>
      </c>
      <c r="O121" s="60">
        <f t="shared" si="161"/>
        <v>29</v>
      </c>
      <c r="P121" s="60">
        <f t="shared" si="161"/>
        <v>0</v>
      </c>
      <c r="Q121" s="65">
        <f t="shared" si="161"/>
        <v>19</v>
      </c>
      <c r="R121" s="66">
        <f t="shared" si="156"/>
        <v>0.08833922261484099</v>
      </c>
      <c r="S121" s="60">
        <f>SUM(S119:S120)</f>
        <v>1</v>
      </c>
      <c r="T121" s="67">
        <f t="shared" si="157"/>
        <v>0.08833922261484099</v>
      </c>
      <c r="U121" s="62">
        <f t="shared" si="158"/>
        <v>2.272727272727273</v>
      </c>
      <c r="V121" s="60">
        <f>SUM(V119:V120)</f>
        <v>232</v>
      </c>
      <c r="W121" s="68">
        <f t="shared" si="159"/>
        <v>20.49469964664311</v>
      </c>
    </row>
    <row r="122" spans="1:23" ht="9.75" customHeight="1">
      <c r="A122" s="187" t="s">
        <v>32</v>
      </c>
      <c r="B122" s="42" t="s">
        <v>34</v>
      </c>
      <c r="C122" s="83">
        <v>469</v>
      </c>
      <c r="D122" s="83">
        <v>165</v>
      </c>
      <c r="E122" s="148">
        <f t="shared" si="151"/>
        <v>35.18123667377399</v>
      </c>
      <c r="F122" s="83">
        <v>121</v>
      </c>
      <c r="G122" s="44">
        <f t="shared" si="149"/>
        <v>73.33333333333333</v>
      </c>
      <c r="H122" s="45">
        <f t="shared" si="152"/>
        <v>6</v>
      </c>
      <c r="I122" s="46">
        <f t="shared" si="153"/>
        <v>4.958677685950414</v>
      </c>
      <c r="J122" s="45">
        <f t="shared" si="154"/>
        <v>4</v>
      </c>
      <c r="K122" s="46">
        <f t="shared" si="155"/>
        <v>66.66666666666666</v>
      </c>
      <c r="L122" s="83">
        <v>1</v>
      </c>
      <c r="M122" s="83">
        <v>0</v>
      </c>
      <c r="N122" s="83">
        <v>0</v>
      </c>
      <c r="O122" s="83">
        <v>3</v>
      </c>
      <c r="P122" s="83">
        <v>0</v>
      </c>
      <c r="Q122" s="84">
        <v>2</v>
      </c>
      <c r="R122" s="48">
        <f t="shared" si="156"/>
        <v>0</v>
      </c>
      <c r="S122" s="83">
        <v>0</v>
      </c>
      <c r="T122" s="49">
        <f t="shared" si="157"/>
        <v>0</v>
      </c>
      <c r="U122" s="44">
        <f t="shared" si="158"/>
        <v>0</v>
      </c>
      <c r="V122" s="83">
        <v>0</v>
      </c>
      <c r="W122" s="50">
        <f t="shared" si="159"/>
        <v>0</v>
      </c>
    </row>
    <row r="123" spans="1:23" ht="9.75" customHeight="1">
      <c r="A123" s="188"/>
      <c r="B123" s="72" t="s">
        <v>35</v>
      </c>
      <c r="C123" s="73">
        <v>584</v>
      </c>
      <c r="D123" s="73">
        <v>200</v>
      </c>
      <c r="E123" s="147">
        <f t="shared" si="151"/>
        <v>34.24657534246575</v>
      </c>
      <c r="F123" s="73">
        <v>146</v>
      </c>
      <c r="G123" s="53">
        <f t="shared" si="149"/>
        <v>73</v>
      </c>
      <c r="H123" s="54">
        <f t="shared" si="152"/>
        <v>5</v>
      </c>
      <c r="I123" s="55">
        <f t="shared" si="153"/>
        <v>3.4246575342465753</v>
      </c>
      <c r="J123" s="54">
        <f t="shared" si="154"/>
        <v>2</v>
      </c>
      <c r="K123" s="55">
        <f t="shared" si="155"/>
        <v>40</v>
      </c>
      <c r="L123" s="73">
        <v>2</v>
      </c>
      <c r="M123" s="73">
        <v>0</v>
      </c>
      <c r="N123" s="73">
        <v>0</v>
      </c>
      <c r="O123" s="73">
        <v>0</v>
      </c>
      <c r="P123" s="73">
        <v>0</v>
      </c>
      <c r="Q123" s="75">
        <v>3</v>
      </c>
      <c r="R123" s="57">
        <f t="shared" si="156"/>
        <v>0</v>
      </c>
      <c r="S123" s="73">
        <v>0</v>
      </c>
      <c r="T123" s="58">
        <f t="shared" si="157"/>
        <v>0</v>
      </c>
      <c r="U123" s="53">
        <f t="shared" si="158"/>
        <v>0</v>
      </c>
      <c r="V123" s="73">
        <v>0</v>
      </c>
      <c r="W123" s="59">
        <f t="shared" si="159"/>
        <v>0</v>
      </c>
    </row>
    <row r="124" spans="1:23" ht="9.75" customHeight="1" thickBot="1">
      <c r="A124" s="188"/>
      <c r="B124" s="69" t="s">
        <v>10</v>
      </c>
      <c r="C124" s="70">
        <f>SUM(C122:C123)</f>
        <v>1053</v>
      </c>
      <c r="D124" s="70">
        <f>SUM(D122:D123)</f>
        <v>365</v>
      </c>
      <c r="E124" s="149">
        <f t="shared" si="151"/>
        <v>34.66286799620133</v>
      </c>
      <c r="F124" s="70">
        <f>SUM(F122:F123)</f>
        <v>267</v>
      </c>
      <c r="G124" s="62">
        <f t="shared" si="149"/>
        <v>73.15068493150685</v>
      </c>
      <c r="H124" s="63">
        <f t="shared" si="152"/>
        <v>11</v>
      </c>
      <c r="I124" s="64">
        <f t="shared" si="153"/>
        <v>4.119850187265917</v>
      </c>
      <c r="J124" s="63">
        <f t="shared" si="154"/>
        <v>6</v>
      </c>
      <c r="K124" s="64">
        <f t="shared" si="155"/>
        <v>54.54545454545454</v>
      </c>
      <c r="L124" s="70">
        <f aca="true" t="shared" si="162" ref="L124:Q124">SUM(L122:L123)</f>
        <v>3</v>
      </c>
      <c r="M124" s="70">
        <f t="shared" si="162"/>
        <v>0</v>
      </c>
      <c r="N124" s="70">
        <f t="shared" si="162"/>
        <v>0</v>
      </c>
      <c r="O124" s="70">
        <f t="shared" si="162"/>
        <v>3</v>
      </c>
      <c r="P124" s="70">
        <f t="shared" si="162"/>
        <v>0</v>
      </c>
      <c r="Q124" s="71">
        <f t="shared" si="162"/>
        <v>5</v>
      </c>
      <c r="R124" s="66">
        <f t="shared" si="156"/>
        <v>0</v>
      </c>
      <c r="S124" s="70">
        <f>SUM(S122:S123)</f>
        <v>0</v>
      </c>
      <c r="T124" s="67">
        <f t="shared" si="157"/>
        <v>0</v>
      </c>
      <c r="U124" s="62">
        <f>M124/J124</f>
        <v>0</v>
      </c>
      <c r="V124" s="70">
        <f>SUM(V122:V123)</f>
        <v>0</v>
      </c>
      <c r="W124" s="68">
        <f t="shared" si="159"/>
        <v>0</v>
      </c>
    </row>
    <row r="125" spans="1:23" ht="9.75" customHeight="1">
      <c r="A125" s="190" t="s">
        <v>86</v>
      </c>
      <c r="B125" s="81" t="s">
        <v>34</v>
      </c>
      <c r="C125" s="19">
        <f>SUM(C113,,C116,C119,C122,)</f>
        <v>15236</v>
      </c>
      <c r="D125" s="19">
        <f>SUM(D113,,D116,D119,D122,)</f>
        <v>4444</v>
      </c>
      <c r="E125" s="143">
        <f>D125/C125*100</f>
        <v>29.16776056707797</v>
      </c>
      <c r="F125" s="19">
        <f>SUM(F113,,F116,F119,F122,)</f>
        <v>3405</v>
      </c>
      <c r="G125" s="20">
        <f>F125/D125*100</f>
        <v>76.62016201620162</v>
      </c>
      <c r="H125" s="21">
        <f>SUM(L125:Q125)</f>
        <v>214</v>
      </c>
      <c r="I125" s="22">
        <f>H125/F125*100</f>
        <v>6.2848751835535985</v>
      </c>
      <c r="J125" s="21">
        <f>SUM(L125:O125)</f>
        <v>138</v>
      </c>
      <c r="K125" s="22">
        <f>J125/H125*100</f>
        <v>64.48598130841121</v>
      </c>
      <c r="L125" s="19">
        <f aca="true" t="shared" si="163" ref="L125:Q126">SUM(L113,,L116,L119,L122,)</f>
        <v>28</v>
      </c>
      <c r="M125" s="19">
        <f t="shared" si="163"/>
        <v>5</v>
      </c>
      <c r="N125" s="19">
        <f t="shared" si="163"/>
        <v>0</v>
      </c>
      <c r="O125" s="19">
        <f t="shared" si="163"/>
        <v>105</v>
      </c>
      <c r="P125" s="19">
        <f t="shared" si="163"/>
        <v>0</v>
      </c>
      <c r="Q125" s="23">
        <f t="shared" si="163"/>
        <v>76</v>
      </c>
      <c r="R125" s="24">
        <f>M125/F125*100</f>
        <v>0.14684287812041116</v>
      </c>
      <c r="S125" s="19">
        <f>SUM(S113,,S116,S119,S122,)</f>
        <v>3</v>
      </c>
      <c r="T125" s="25">
        <f>S125/F125*100</f>
        <v>0.0881057268722467</v>
      </c>
      <c r="U125" s="20">
        <f>M125/J125*100</f>
        <v>3.6231884057971016</v>
      </c>
      <c r="V125" s="19">
        <f>SUM(V113,,V116,V119,V122,)</f>
        <v>368</v>
      </c>
      <c r="W125" s="26">
        <f>V125/F125*100</f>
        <v>10.807635829662262</v>
      </c>
    </row>
    <row r="126" spans="1:23" ht="9.75" customHeight="1">
      <c r="A126" s="191"/>
      <c r="B126" s="82" t="s">
        <v>35</v>
      </c>
      <c r="C126" s="28">
        <f>SUM(C114,,C117,C120,C123,)</f>
        <v>18004</v>
      </c>
      <c r="D126" s="28">
        <f>SUM(D114,,D117,D120,D123,)</f>
        <v>6121</v>
      </c>
      <c r="E126" s="145">
        <f>D126/C126*100</f>
        <v>33.9980004443457</v>
      </c>
      <c r="F126" s="28">
        <f>SUM(F114,,F117,F120,F123,)</f>
        <v>4878</v>
      </c>
      <c r="G126" s="29">
        <f>F126/D126*100</f>
        <v>79.69286064368568</v>
      </c>
      <c r="H126" s="30">
        <f>SUM(L126:Q126)</f>
        <v>257</v>
      </c>
      <c r="I126" s="31">
        <f>H126/F126*100</f>
        <v>5.268552685526855</v>
      </c>
      <c r="J126" s="30">
        <f>SUM(L126:O126)</f>
        <v>171</v>
      </c>
      <c r="K126" s="31">
        <f>J126/H126*100</f>
        <v>66.53696498054474</v>
      </c>
      <c r="L126" s="28">
        <f t="shared" si="163"/>
        <v>52</v>
      </c>
      <c r="M126" s="28">
        <f t="shared" si="163"/>
        <v>2</v>
      </c>
      <c r="N126" s="28">
        <f t="shared" si="163"/>
        <v>0</v>
      </c>
      <c r="O126" s="28">
        <f t="shared" si="163"/>
        <v>117</v>
      </c>
      <c r="P126" s="28">
        <f t="shared" si="163"/>
        <v>10</v>
      </c>
      <c r="Q126" s="32">
        <f t="shared" si="163"/>
        <v>76</v>
      </c>
      <c r="R126" s="33">
        <f>M126/F126*100</f>
        <v>0.04100041000410004</v>
      </c>
      <c r="S126" s="28">
        <f>SUM(S114,,S117,S120,S123,)</f>
        <v>2</v>
      </c>
      <c r="T126" s="34">
        <f>S126/F126*100</f>
        <v>0.04100041000410004</v>
      </c>
      <c r="U126" s="29">
        <f>M126/J126*100</f>
        <v>1.1695906432748537</v>
      </c>
      <c r="V126" s="28">
        <f>SUM(V114,,V117,V120,V123,)</f>
        <v>431</v>
      </c>
      <c r="W126" s="35">
        <f>V126/F126*100</f>
        <v>8.835588355883559</v>
      </c>
    </row>
    <row r="127" spans="1:23" ht="9.75" customHeight="1" thickBot="1">
      <c r="A127" s="192"/>
      <c r="B127" s="36" t="s">
        <v>10</v>
      </c>
      <c r="C127" s="79">
        <f>SUM(C125:C126)</f>
        <v>33240</v>
      </c>
      <c r="D127" s="79">
        <f>SUM(D125:D126)</f>
        <v>10565</v>
      </c>
      <c r="E127" s="146">
        <f>D127/C127*100</f>
        <v>31.78399518652226</v>
      </c>
      <c r="F127" s="79">
        <f>SUM(F125:F126)</f>
        <v>8283</v>
      </c>
      <c r="G127" s="38">
        <f>F127/D127*100</f>
        <v>78.40037860861334</v>
      </c>
      <c r="H127" s="37">
        <f>SUM(L127:Q127)</f>
        <v>471</v>
      </c>
      <c r="I127" s="38">
        <f>H127/F127*100</f>
        <v>5.686345526982977</v>
      </c>
      <c r="J127" s="37">
        <f>SUM(L127:O127)</f>
        <v>309</v>
      </c>
      <c r="K127" s="38">
        <f>J127/H127*100</f>
        <v>65.60509554140127</v>
      </c>
      <c r="L127" s="79">
        <f aca="true" t="shared" si="164" ref="L127:Q127">SUM(L125:L126)</f>
        <v>80</v>
      </c>
      <c r="M127" s="79">
        <f t="shared" si="164"/>
        <v>7</v>
      </c>
      <c r="N127" s="79">
        <f t="shared" si="164"/>
        <v>0</v>
      </c>
      <c r="O127" s="79">
        <f t="shared" si="164"/>
        <v>222</v>
      </c>
      <c r="P127" s="79">
        <f t="shared" si="164"/>
        <v>10</v>
      </c>
      <c r="Q127" s="80">
        <f t="shared" si="164"/>
        <v>152</v>
      </c>
      <c r="R127" s="39">
        <f>M127/F127*100</f>
        <v>0.08451044307618012</v>
      </c>
      <c r="S127" s="79">
        <f>SUM(S125:S126)</f>
        <v>5</v>
      </c>
      <c r="T127" s="40">
        <f>S127/F127*100</f>
        <v>0.06036460219727152</v>
      </c>
      <c r="U127" s="38">
        <f>M127/J127*100</f>
        <v>2.26537216828479</v>
      </c>
      <c r="V127" s="79">
        <f>SUM(V125:V126)</f>
        <v>799</v>
      </c>
      <c r="W127" s="41">
        <f>V127/F127*100</f>
        <v>9.64626343112399</v>
      </c>
    </row>
  </sheetData>
  <mergeCells count="47">
    <mergeCell ref="A125:A127"/>
    <mergeCell ref="A80:A82"/>
    <mergeCell ref="A86:A88"/>
    <mergeCell ref="A95:A97"/>
    <mergeCell ref="A110:A112"/>
    <mergeCell ref="A98:A100"/>
    <mergeCell ref="A92:A94"/>
    <mergeCell ref="A122:A124"/>
    <mergeCell ref="A119:A121"/>
    <mergeCell ref="A116:A118"/>
    <mergeCell ref="A32:A34"/>
    <mergeCell ref="A29:A31"/>
    <mergeCell ref="A8:A10"/>
    <mergeCell ref="A11:A13"/>
    <mergeCell ref="A77:A79"/>
    <mergeCell ref="A71:A73"/>
    <mergeCell ref="A113:A115"/>
    <mergeCell ref="A107:A109"/>
    <mergeCell ref="A104:A106"/>
    <mergeCell ref="A101:A103"/>
    <mergeCell ref="A89:A91"/>
    <mergeCell ref="A83:A85"/>
    <mergeCell ref="A74:A76"/>
    <mergeCell ref="A38:A40"/>
    <mergeCell ref="A50:A52"/>
    <mergeCell ref="A44:A46"/>
    <mergeCell ref="A47:A49"/>
    <mergeCell ref="A68:A70"/>
    <mergeCell ref="A65:A67"/>
    <mergeCell ref="A62:A64"/>
    <mergeCell ref="A59:A61"/>
    <mergeCell ref="A53:A55"/>
    <mergeCell ref="A26:A28"/>
    <mergeCell ref="L2:O2"/>
    <mergeCell ref="A56:A58"/>
    <mergeCell ref="A2:B4"/>
    <mergeCell ref="A17:A19"/>
    <mergeCell ref="A23:A25"/>
    <mergeCell ref="A35:A37"/>
    <mergeCell ref="A5:A7"/>
    <mergeCell ref="A41:A43"/>
    <mergeCell ref="R2:T2"/>
    <mergeCell ref="V2:W2"/>
    <mergeCell ref="A20:A22"/>
    <mergeCell ref="F2:I2"/>
    <mergeCell ref="J2:K2"/>
    <mergeCell ref="A14:A16"/>
  </mergeCells>
  <printOptions/>
  <pageMargins left="0.7874015748031497" right="0.3937007874015748" top="0.7874015748031497" bottom="0.7874015748031497" header="0" footer="0"/>
  <pageSetup horizontalDpi="600" verticalDpi="600" orientation="landscape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0"/>
  <sheetViews>
    <sheetView view="pageBreakPreview" zoomScaleNormal="130" zoomScaleSheetLayoutView="100" workbookViewId="0" topLeftCell="A1">
      <pane xSplit="3" ySplit="4" topLeftCell="D5" activePane="bottomRight" state="frozen"/>
      <selection pane="topLeft" activeCell="E8" sqref="E8"/>
      <selection pane="topRight" activeCell="E8" sqref="E8"/>
      <selection pane="bottomLeft" activeCell="E8" sqref="E8"/>
      <selection pane="bottomRight" activeCell="P27" sqref="P27:P28"/>
    </sheetView>
  </sheetViews>
  <sheetFormatPr defaultColWidth="9.00390625" defaultRowHeight="9.75" customHeight="1"/>
  <cols>
    <col min="1" max="1" width="3.625" style="9" customWidth="1"/>
    <col min="2" max="2" width="6.625" style="9" customWidth="1"/>
    <col min="3" max="3" width="4.625" style="9" customWidth="1"/>
    <col min="4" max="4" width="7.125" style="9" customWidth="1"/>
    <col min="5" max="5" width="6.625" style="9" customWidth="1"/>
    <col min="6" max="6" width="6.125" style="10" customWidth="1"/>
    <col min="7" max="7" width="6.125" style="9" customWidth="1"/>
    <col min="8" max="8" width="4.625" style="10" customWidth="1"/>
    <col min="9" max="9" width="5.625" style="9" customWidth="1"/>
    <col min="10" max="10" width="5.625" style="10" customWidth="1"/>
    <col min="11" max="11" width="6.125" style="9" customWidth="1"/>
    <col min="12" max="12" width="4.625" style="10" customWidth="1"/>
    <col min="13" max="15" width="6.125" style="9" customWidth="1"/>
    <col min="16" max="16" width="7.125" style="9" customWidth="1"/>
    <col min="17" max="17" width="5.125" style="9" customWidth="1"/>
    <col min="18" max="18" width="5.625" style="9" customWidth="1"/>
    <col min="19" max="19" width="5.625" style="11" customWidth="1"/>
    <col min="20" max="20" width="5.625" style="9" customWidth="1"/>
    <col min="21" max="21" width="5.625" style="12" customWidth="1"/>
    <col min="22" max="22" width="5.625" style="10" customWidth="1"/>
    <col min="23" max="23" width="5.625" style="9" customWidth="1"/>
    <col min="24" max="24" width="4.625" style="10" customWidth="1"/>
    <col min="25" max="25" width="12.625" style="9" customWidth="1"/>
    <col min="26" max="28" width="11.625" style="9" customWidth="1"/>
    <col min="29" max="16384" width="9.00390625" style="9" customWidth="1"/>
  </cols>
  <sheetData>
    <row r="1" spans="1:24" ht="15" customHeight="1" thickBot="1">
      <c r="A1" s="86" t="s">
        <v>116</v>
      </c>
      <c r="E1" s="10"/>
      <c r="F1" s="9"/>
      <c r="G1" s="10"/>
      <c r="H1" s="9"/>
      <c r="I1" s="10"/>
      <c r="J1" s="9"/>
      <c r="K1" s="10"/>
      <c r="L1" s="9"/>
      <c r="R1" s="11"/>
      <c r="S1" s="9"/>
      <c r="T1" s="12"/>
      <c r="U1" s="10"/>
      <c r="V1" s="9"/>
      <c r="W1" s="10"/>
      <c r="X1" s="9"/>
    </row>
    <row r="2" spans="1:24" ht="9.75" customHeight="1">
      <c r="A2" s="212"/>
      <c r="B2" s="213"/>
      <c r="C2" s="214"/>
      <c r="D2" s="1"/>
      <c r="E2" s="1"/>
      <c r="F2" s="13"/>
      <c r="G2" s="183" t="s">
        <v>37</v>
      </c>
      <c r="H2" s="184"/>
      <c r="I2" s="184"/>
      <c r="J2" s="184"/>
      <c r="K2" s="184" t="s">
        <v>38</v>
      </c>
      <c r="L2" s="184"/>
      <c r="M2" s="184" t="s">
        <v>39</v>
      </c>
      <c r="N2" s="184"/>
      <c r="O2" s="184"/>
      <c r="P2" s="184"/>
      <c r="Q2" s="1"/>
      <c r="R2" s="2"/>
      <c r="S2" s="178" t="s">
        <v>40</v>
      </c>
      <c r="T2" s="179"/>
      <c r="U2" s="179"/>
      <c r="V2" s="14"/>
      <c r="W2" s="180" t="s">
        <v>0</v>
      </c>
      <c r="X2" s="181"/>
    </row>
    <row r="3" spans="1:24" ht="30.75" customHeight="1">
      <c r="A3" s="215"/>
      <c r="B3" s="216"/>
      <c r="C3" s="217"/>
      <c r="D3" s="4" t="s">
        <v>90</v>
      </c>
      <c r="E3" s="4" t="s">
        <v>42</v>
      </c>
      <c r="F3" s="15" t="s">
        <v>43</v>
      </c>
      <c r="G3" s="5" t="s">
        <v>44</v>
      </c>
      <c r="H3" s="15" t="s">
        <v>45</v>
      </c>
      <c r="I3" s="95" t="s">
        <v>46</v>
      </c>
      <c r="J3" s="96" t="s">
        <v>47</v>
      </c>
      <c r="K3" s="95" t="s">
        <v>44</v>
      </c>
      <c r="L3" s="96" t="s">
        <v>45</v>
      </c>
      <c r="M3" s="95" t="s">
        <v>48</v>
      </c>
      <c r="N3" s="95" t="s">
        <v>49</v>
      </c>
      <c r="O3" s="95" t="s">
        <v>50</v>
      </c>
      <c r="P3" s="95" t="s">
        <v>51</v>
      </c>
      <c r="Q3" s="4" t="s">
        <v>52</v>
      </c>
      <c r="R3" s="6" t="s">
        <v>53</v>
      </c>
      <c r="S3" s="7" t="s">
        <v>54</v>
      </c>
      <c r="T3" s="4" t="s">
        <v>55</v>
      </c>
      <c r="U3" s="8" t="s">
        <v>56</v>
      </c>
      <c r="V3" s="16" t="s">
        <v>57</v>
      </c>
      <c r="W3" s="4" t="s">
        <v>58</v>
      </c>
      <c r="X3" s="17" t="s">
        <v>59</v>
      </c>
    </row>
    <row r="4" spans="1:24" ht="9.75" customHeight="1" thickBot="1">
      <c r="A4" s="218"/>
      <c r="B4" s="219"/>
      <c r="C4" s="220"/>
      <c r="D4" s="97" t="s">
        <v>91</v>
      </c>
      <c r="E4" s="98" t="s">
        <v>92</v>
      </c>
      <c r="F4" s="99" t="s">
        <v>93</v>
      </c>
      <c r="G4" s="100" t="s">
        <v>94</v>
      </c>
      <c r="H4" s="101" t="s">
        <v>95</v>
      </c>
      <c r="I4" s="97" t="s">
        <v>96</v>
      </c>
      <c r="J4" s="102" t="s">
        <v>97</v>
      </c>
      <c r="K4" s="97" t="s">
        <v>98</v>
      </c>
      <c r="L4" s="102" t="s">
        <v>99</v>
      </c>
      <c r="M4" s="97"/>
      <c r="N4" s="97" t="s">
        <v>100</v>
      </c>
      <c r="O4" s="97"/>
      <c r="P4" s="97"/>
      <c r="Q4" s="97"/>
      <c r="R4" s="103"/>
      <c r="S4" s="104" t="s">
        <v>101</v>
      </c>
      <c r="T4" s="97" t="s">
        <v>102</v>
      </c>
      <c r="U4" s="105" t="s">
        <v>103</v>
      </c>
      <c r="V4" s="102" t="s">
        <v>104</v>
      </c>
      <c r="W4" s="98" t="s">
        <v>105</v>
      </c>
      <c r="X4" s="106" t="s">
        <v>106</v>
      </c>
    </row>
    <row r="5" spans="1:24" ht="9.75" customHeight="1">
      <c r="A5" s="204" t="s">
        <v>34</v>
      </c>
      <c r="B5" s="210" t="s">
        <v>1</v>
      </c>
      <c r="C5" s="211"/>
      <c r="D5" s="107">
        <f>21220+14203+3072+2543+2142+4474+734+770+1230+3783+1155</f>
        <v>55326</v>
      </c>
      <c r="E5" s="107">
        <f>4061+1249+336+413+153+836+117+298+129+413+116</f>
        <v>8121</v>
      </c>
      <c r="F5" s="108">
        <f>E5/D5*100</f>
        <v>14.67845136102375</v>
      </c>
      <c r="G5" s="109">
        <f>212+92+62+34+22+58+10+18+22+82+71</f>
        <v>683</v>
      </c>
      <c r="H5" s="110">
        <f>G5/E5*100</f>
        <v>8.410294298731683</v>
      </c>
      <c r="I5" s="107">
        <f>SUM(M5:R5)</f>
        <v>34</v>
      </c>
      <c r="J5" s="111">
        <f>I5/G5*100</f>
        <v>4.978038067349927</v>
      </c>
      <c r="K5" s="112">
        <f>SUM(M5:P5)</f>
        <v>19</v>
      </c>
      <c r="L5" s="111">
        <f>K5/I5*100</f>
        <v>55.88235294117647</v>
      </c>
      <c r="M5" s="107">
        <f>2+1+1+1+1+1</f>
        <v>7</v>
      </c>
      <c r="N5" s="107">
        <v>0</v>
      </c>
      <c r="O5" s="107">
        <v>0</v>
      </c>
      <c r="P5" s="107">
        <f>4+3+2+1+1+1</f>
        <v>12</v>
      </c>
      <c r="Q5" s="107">
        <f>4+1</f>
        <v>5</v>
      </c>
      <c r="R5" s="113">
        <f>2+3+1+1+2+1</f>
        <v>10</v>
      </c>
      <c r="S5" s="114">
        <f>N5/G5*100</f>
        <v>0</v>
      </c>
      <c r="T5" s="107">
        <v>1</v>
      </c>
      <c r="U5" s="115">
        <f>T5/G5*100</f>
        <v>0.14641288433382138</v>
      </c>
      <c r="V5" s="116">
        <f>N5/K5*100</f>
        <v>0</v>
      </c>
      <c r="W5" s="107">
        <f>137+58+30+23+14+22+5+7+10+34+26</f>
        <v>366</v>
      </c>
      <c r="X5" s="117">
        <f>W5/G5*100</f>
        <v>53.58711566617862</v>
      </c>
    </row>
    <row r="6" spans="1:24" ht="9.75" customHeight="1">
      <c r="A6" s="182"/>
      <c r="B6" s="202" t="s">
        <v>2</v>
      </c>
      <c r="C6" s="203"/>
      <c r="D6" s="118">
        <f>20014+12831+3356+2723+2284+4538+978+978+1441+4363+1341</f>
        <v>54847</v>
      </c>
      <c r="E6" s="118">
        <f>4062+1260+353+172+161+858+137+248+195+507+182</f>
        <v>8135</v>
      </c>
      <c r="F6" s="119">
        <f>E6/D6*100</f>
        <v>14.832169489671267</v>
      </c>
      <c r="G6" s="120">
        <f>288+87+68+47+26+74+31+33+23+124+96</f>
        <v>897</v>
      </c>
      <c r="H6" s="121">
        <f>G6/E6*100</f>
        <v>11.026429010448679</v>
      </c>
      <c r="I6" s="122">
        <f>SUM(M6:R6)</f>
        <v>54</v>
      </c>
      <c r="J6" s="123">
        <f>I6/G6*100</f>
        <v>6.0200668896321075</v>
      </c>
      <c r="K6" s="124">
        <f>SUM(M6:P6)</f>
        <v>32</v>
      </c>
      <c r="L6" s="123">
        <f>K6/I6*100</f>
        <v>59.25925925925925</v>
      </c>
      <c r="M6" s="122">
        <f>2+2+1+1+2+1+1</f>
        <v>10</v>
      </c>
      <c r="N6" s="122">
        <v>0</v>
      </c>
      <c r="O6" s="122">
        <v>1</v>
      </c>
      <c r="P6" s="122">
        <f>7+4+2+2+2+3+1</f>
        <v>21</v>
      </c>
      <c r="Q6" s="122">
        <f>8+1</f>
        <v>9</v>
      </c>
      <c r="R6" s="125">
        <f>5+3+2+2+1</f>
        <v>13</v>
      </c>
      <c r="S6" s="126">
        <f>N6/G6*100</f>
        <v>0</v>
      </c>
      <c r="T6" s="118">
        <v>0</v>
      </c>
      <c r="U6" s="127">
        <f>T6/G6*100</f>
        <v>0</v>
      </c>
      <c r="V6" s="128">
        <f>N6/K6*100</f>
        <v>0</v>
      </c>
      <c r="W6" s="118">
        <f>107+38+22+11+5+14+11+9+8+32+16</f>
        <v>273</v>
      </c>
      <c r="X6" s="129">
        <f>W6/G6*100</f>
        <v>30.434782608695656</v>
      </c>
    </row>
    <row r="7" spans="1:24" ht="9.75" customHeight="1">
      <c r="A7" s="182"/>
      <c r="B7" s="202" t="s">
        <v>3</v>
      </c>
      <c r="C7" s="203"/>
      <c r="D7" s="118">
        <f>19927+13768+4126+3238+2477+5211+1118+1251+1736+4867+1713</f>
        <v>59432</v>
      </c>
      <c r="E7" s="118">
        <f>4064+1704+483+240+235+1006+186+332+266+650+284</f>
        <v>9450</v>
      </c>
      <c r="F7" s="119">
        <f aca="true" t="shared" si="0" ref="F7:F14">E7/D7*100</f>
        <v>15.900524969713286</v>
      </c>
      <c r="G7" s="120">
        <f>378+132+98+67+38+91+30+65+50+183+186</f>
        <v>1318</v>
      </c>
      <c r="H7" s="121">
        <f aca="true" t="shared" si="1" ref="H7:H14">G7/E7*100</f>
        <v>13.947089947089946</v>
      </c>
      <c r="I7" s="122">
        <f aca="true" t="shared" si="2" ref="I7:I16">SUM(M7:R7)</f>
        <v>88</v>
      </c>
      <c r="J7" s="123">
        <f aca="true" t="shared" si="3" ref="J7:J16">I7/G7*100</f>
        <v>6.676783004552352</v>
      </c>
      <c r="K7" s="124">
        <f aca="true" t="shared" si="4" ref="K7:K16">SUM(M7:P7)</f>
        <v>43</v>
      </c>
      <c r="L7" s="123">
        <f aca="true" t="shared" si="5" ref="L7:L16">K7/I7*100</f>
        <v>48.86363636363637</v>
      </c>
      <c r="M7" s="122">
        <f>4+1+1+1+1+1</f>
        <v>9</v>
      </c>
      <c r="N7" s="122">
        <v>0</v>
      </c>
      <c r="O7" s="122">
        <v>1</v>
      </c>
      <c r="P7" s="122">
        <f>10+1+2+1+1+6+2+2+3+5</f>
        <v>33</v>
      </c>
      <c r="Q7" s="122">
        <f>13+1+2+1+3+1</f>
        <v>21</v>
      </c>
      <c r="R7" s="125">
        <f>3+6+1+2+3+1+7+1</f>
        <v>24</v>
      </c>
      <c r="S7" s="126">
        <f aca="true" t="shared" si="6" ref="S7:S16">N7/G7*100</f>
        <v>0</v>
      </c>
      <c r="T7" s="118">
        <v>0</v>
      </c>
      <c r="U7" s="127">
        <f aca="true" t="shared" si="7" ref="U7:U16">T7/G7*100</f>
        <v>0</v>
      </c>
      <c r="V7" s="128">
        <f aca="true" t="shared" si="8" ref="V7:V16">N7/K7*100</f>
        <v>0</v>
      </c>
      <c r="W7" s="118">
        <f>143+48+22+8+5+12+7+12+10+33+25</f>
        <v>325</v>
      </c>
      <c r="X7" s="129">
        <f aca="true" t="shared" si="9" ref="X7:X16">W7/G7*100</f>
        <v>24.658573596358117</v>
      </c>
    </row>
    <row r="8" spans="1:24" ht="9.75" customHeight="1">
      <c r="A8" s="182"/>
      <c r="B8" s="202" t="s">
        <v>4</v>
      </c>
      <c r="C8" s="203"/>
      <c r="D8" s="118">
        <f>24735+18030+5248+4290+3186+6581+1468+1528+2231+5795+2142</f>
        <v>75234</v>
      </c>
      <c r="E8" s="118">
        <f>6099+2494+759+440+409+1566+312+468+424+1135+463</f>
        <v>14569</v>
      </c>
      <c r="F8" s="119">
        <f t="shared" si="0"/>
        <v>19.364914799159955</v>
      </c>
      <c r="G8" s="120">
        <f>648+204+156+115+64+187+66+117+92+295+306</f>
        <v>2250</v>
      </c>
      <c r="H8" s="121">
        <f t="shared" si="1"/>
        <v>15.443750428993066</v>
      </c>
      <c r="I8" s="122">
        <f t="shared" si="2"/>
        <v>158</v>
      </c>
      <c r="J8" s="123">
        <f t="shared" si="3"/>
        <v>7.022222222222223</v>
      </c>
      <c r="K8" s="124">
        <f t="shared" si="4"/>
        <v>84</v>
      </c>
      <c r="L8" s="123">
        <f t="shared" si="5"/>
        <v>53.16455696202531</v>
      </c>
      <c r="M8" s="122">
        <f>2+4+5+1+5+1+3+2+4+4</f>
        <v>31</v>
      </c>
      <c r="N8" s="122">
        <f>1+1+1</f>
        <v>3</v>
      </c>
      <c r="O8" s="122">
        <v>0</v>
      </c>
      <c r="P8" s="122">
        <f>9+7+2+5+1+4+4+6+3+4+5</f>
        <v>50</v>
      </c>
      <c r="Q8" s="122">
        <f>28+3+2+1+2+1</f>
        <v>37</v>
      </c>
      <c r="R8" s="125">
        <f>8+5+1+1+1+2+7+4+8</f>
        <v>37</v>
      </c>
      <c r="S8" s="126">
        <f t="shared" si="6"/>
        <v>0.13333333333333333</v>
      </c>
      <c r="T8" s="118">
        <f>1+1+1</f>
        <v>3</v>
      </c>
      <c r="U8" s="127">
        <f t="shared" si="7"/>
        <v>0.13333333333333333</v>
      </c>
      <c r="V8" s="128">
        <f t="shared" si="8"/>
        <v>3.571428571428571</v>
      </c>
      <c r="W8" s="118">
        <f>218+77+42+16+18+35+15+20+28+60+45</f>
        <v>574</v>
      </c>
      <c r="X8" s="129">
        <f t="shared" si="9"/>
        <v>25.511111111111113</v>
      </c>
    </row>
    <row r="9" spans="1:24" ht="9.75" customHeight="1">
      <c r="A9" s="182"/>
      <c r="B9" s="202" t="s">
        <v>5</v>
      </c>
      <c r="C9" s="203"/>
      <c r="D9" s="118">
        <f>22113+16952+4677+3959+2696+6242+1230+1119+1900+4645+1857</f>
        <v>67390</v>
      </c>
      <c r="E9" s="118">
        <f>9120+6730+2040+1175+1028+2560+362+486+671+1733+589</f>
        <v>26494</v>
      </c>
      <c r="F9" s="119">
        <f t="shared" si="0"/>
        <v>39.31443834396795</v>
      </c>
      <c r="G9" s="120">
        <f>1408+641+426+356+207+460+99+186+148+547+447</f>
        <v>4925</v>
      </c>
      <c r="H9" s="121">
        <f t="shared" si="1"/>
        <v>18.589114516494302</v>
      </c>
      <c r="I9" s="122">
        <f t="shared" si="2"/>
        <v>355</v>
      </c>
      <c r="J9" s="123">
        <f t="shared" si="3"/>
        <v>7.208121827411168</v>
      </c>
      <c r="K9" s="124">
        <f t="shared" si="4"/>
        <v>210</v>
      </c>
      <c r="L9" s="123">
        <f t="shared" si="5"/>
        <v>59.154929577464785</v>
      </c>
      <c r="M9" s="122">
        <f>10+8+8+3+1+4+3+1+3+1</f>
        <v>42</v>
      </c>
      <c r="N9" s="122">
        <f>2+2+2+2+2+1</f>
        <v>11</v>
      </c>
      <c r="O9" s="122">
        <f>1+1+1</f>
        <v>3</v>
      </c>
      <c r="P9" s="122">
        <f>32+28+15+15+5+14+3+10+2+16+14</f>
        <v>154</v>
      </c>
      <c r="Q9" s="122">
        <f>48+6+2+3+1+2</f>
        <v>62</v>
      </c>
      <c r="R9" s="125">
        <f>20+11+3+3+8+7+6+11+14</f>
        <v>83</v>
      </c>
      <c r="S9" s="126">
        <f t="shared" si="6"/>
        <v>0.2233502538071066</v>
      </c>
      <c r="T9" s="118">
        <f>1+2+2+1+1</f>
        <v>7</v>
      </c>
      <c r="U9" s="127">
        <f t="shared" si="7"/>
        <v>0.14213197969543148</v>
      </c>
      <c r="V9" s="128">
        <f t="shared" si="8"/>
        <v>5.238095238095238</v>
      </c>
      <c r="W9" s="118">
        <f>537+257+136+91+50+76+23+38+66+136+86</f>
        <v>1496</v>
      </c>
      <c r="X9" s="129">
        <f t="shared" si="9"/>
        <v>30.375634517766496</v>
      </c>
    </row>
    <row r="10" spans="1:24" ht="9.75" customHeight="1">
      <c r="A10" s="182"/>
      <c r="B10" s="202" t="s">
        <v>6</v>
      </c>
      <c r="C10" s="203"/>
      <c r="D10" s="118">
        <f>18057+14117+3757+3365+2088+5352+1045+1021+1487+4078+1467</f>
        <v>55834</v>
      </c>
      <c r="E10" s="118">
        <f>10228+8427+2596+1673+1298+2938+557+572+1093+2436+606</f>
        <v>32424</v>
      </c>
      <c r="F10" s="119">
        <f t="shared" si="0"/>
        <v>58.07214242218003</v>
      </c>
      <c r="G10" s="120">
        <f>2613+1390+770+650+304+955+194+263+217+754+491</f>
        <v>8601</v>
      </c>
      <c r="H10" s="121">
        <f t="shared" si="1"/>
        <v>26.52664692820133</v>
      </c>
      <c r="I10" s="122">
        <f t="shared" si="2"/>
        <v>683</v>
      </c>
      <c r="J10" s="123">
        <f t="shared" si="3"/>
        <v>7.94093710033717</v>
      </c>
      <c r="K10" s="124">
        <f t="shared" si="4"/>
        <v>427</v>
      </c>
      <c r="L10" s="123">
        <f t="shared" si="5"/>
        <v>62.51830161054173</v>
      </c>
      <c r="M10" s="122">
        <f>23+25+16+7+7+3+3+8+4</f>
        <v>96</v>
      </c>
      <c r="N10" s="122">
        <f>4+1+2+1+3+1+1</f>
        <v>13</v>
      </c>
      <c r="O10" s="122">
        <v>0</v>
      </c>
      <c r="P10" s="122">
        <f>82+74+23+29+17+28+4+10+7+25+19</f>
        <v>318</v>
      </c>
      <c r="Q10" s="122">
        <f>88+13+3+8+2+4</f>
        <v>118</v>
      </c>
      <c r="R10" s="125">
        <f>29+28+5+7+1+20+8+16+19+5</f>
        <v>138</v>
      </c>
      <c r="S10" s="126">
        <f t="shared" si="6"/>
        <v>0.1511452156725962</v>
      </c>
      <c r="T10" s="118">
        <f>3+1+1+2+1</f>
        <v>8</v>
      </c>
      <c r="U10" s="127">
        <f t="shared" si="7"/>
        <v>0.09301244041390536</v>
      </c>
      <c r="V10" s="128">
        <f t="shared" si="8"/>
        <v>3.0444964871194378</v>
      </c>
      <c r="W10" s="118">
        <f>733+415+176+86+43+121+44+14+84+144+42</f>
        <v>1902</v>
      </c>
      <c r="X10" s="129">
        <f t="shared" si="9"/>
        <v>22.113707708406</v>
      </c>
    </row>
    <row r="11" spans="1:24" ht="9.75" customHeight="1">
      <c r="A11" s="182"/>
      <c r="B11" s="202" t="s">
        <v>7</v>
      </c>
      <c r="C11" s="203"/>
      <c r="D11" s="118">
        <f>15079+11519+3585+3050+1941+4960+1155+1219+1642+4024+1537</f>
        <v>49711</v>
      </c>
      <c r="E11" s="118">
        <f>10204+8696+2974+1921+1489+3283+865+733+1519+2986+732</f>
        <v>35402</v>
      </c>
      <c r="F11" s="119">
        <f t="shared" si="0"/>
        <v>71.21562632013035</v>
      </c>
      <c r="G11" s="120">
        <f>3679+1723+746+713+334+1015+290+444+343+864+616</f>
        <v>10767</v>
      </c>
      <c r="H11" s="121">
        <f t="shared" si="1"/>
        <v>30.41353595842043</v>
      </c>
      <c r="I11" s="122">
        <f t="shared" si="2"/>
        <v>996</v>
      </c>
      <c r="J11" s="123">
        <f t="shared" si="3"/>
        <v>9.250487601003064</v>
      </c>
      <c r="K11" s="124">
        <f t="shared" si="4"/>
        <v>590</v>
      </c>
      <c r="L11" s="123">
        <f t="shared" si="5"/>
        <v>59.23694779116466</v>
      </c>
      <c r="M11" s="122">
        <f>35+36+19+10+1+9+2+3+9+11+2</f>
        <v>137</v>
      </c>
      <c r="N11" s="122">
        <f>9+4+3+1+1+4+2+2</f>
        <v>26</v>
      </c>
      <c r="O11" s="122">
        <v>0</v>
      </c>
      <c r="P11" s="122">
        <f>116+80+28+33+14+48+12+32+11+39+14</f>
        <v>427</v>
      </c>
      <c r="Q11" s="122">
        <f>144+15+3+15+1+8+2</f>
        <v>188</v>
      </c>
      <c r="R11" s="125">
        <f>71+31+5+8+20+20+24+18+21</f>
        <v>218</v>
      </c>
      <c r="S11" s="126">
        <f t="shared" si="6"/>
        <v>0.2414785919940559</v>
      </c>
      <c r="T11" s="118">
        <f>8+2+1+1+3+1</f>
        <v>16</v>
      </c>
      <c r="U11" s="127">
        <f t="shared" si="7"/>
        <v>0.14860221045788055</v>
      </c>
      <c r="V11" s="128">
        <f t="shared" si="8"/>
        <v>4.406779661016949</v>
      </c>
      <c r="W11" s="118">
        <f>780+294+148+72+26+108+37+50+44+125+50</f>
        <v>1734</v>
      </c>
      <c r="X11" s="129">
        <f t="shared" si="9"/>
        <v>16.104764558372807</v>
      </c>
    </row>
    <row r="12" spans="1:24" ht="9.75" customHeight="1">
      <c r="A12" s="182"/>
      <c r="B12" s="202" t="s">
        <v>8</v>
      </c>
      <c r="C12" s="203"/>
      <c r="D12" s="118">
        <f>12517+8667+3088+2348+1482+4419+1193+1195+1672+3734+1576</f>
        <v>41891</v>
      </c>
      <c r="E12" s="118">
        <f>9234+6337+2751+1493+1224+2889+949+722+1457+2911+769</f>
        <v>30736</v>
      </c>
      <c r="F12" s="119">
        <f t="shared" si="0"/>
        <v>73.37136855171755</v>
      </c>
      <c r="G12" s="120">
        <f>3393+1431+568+598+280+821+294+394+356+951+636</f>
        <v>9722</v>
      </c>
      <c r="H12" s="121">
        <f t="shared" si="1"/>
        <v>31.63066111400312</v>
      </c>
      <c r="I12" s="122">
        <f t="shared" si="2"/>
        <v>958</v>
      </c>
      <c r="J12" s="123">
        <f t="shared" si="3"/>
        <v>9.853939518617569</v>
      </c>
      <c r="K12" s="124">
        <f t="shared" si="4"/>
        <v>585</v>
      </c>
      <c r="L12" s="123">
        <f t="shared" si="5"/>
        <v>61.06471816283925</v>
      </c>
      <c r="M12" s="122">
        <f>30+29+18+12+2+17+1+6+9+18+10</f>
        <v>152</v>
      </c>
      <c r="N12" s="122">
        <f>7+2+2+1+1+1+1</f>
        <v>15</v>
      </c>
      <c r="O12" s="122">
        <v>0</v>
      </c>
      <c r="P12" s="122">
        <f>117+73+25+28+9+44+18+24+14+39+27</f>
        <v>418</v>
      </c>
      <c r="Q12" s="122">
        <f>152+11+1+16+2+9</f>
        <v>191</v>
      </c>
      <c r="R12" s="125">
        <f>55+28+4+15+15+18+24+13+10</f>
        <v>182</v>
      </c>
      <c r="S12" s="126">
        <f t="shared" si="6"/>
        <v>0.1542892408969348</v>
      </c>
      <c r="T12" s="118">
        <f>7+2+2</f>
        <v>11</v>
      </c>
      <c r="U12" s="127">
        <f t="shared" si="7"/>
        <v>0.11314544332441884</v>
      </c>
      <c r="V12" s="128">
        <f t="shared" si="8"/>
        <v>2.564102564102564</v>
      </c>
      <c r="W12" s="118">
        <f>328+149+55+36+13+65+25+13+37+132+43</f>
        <v>896</v>
      </c>
      <c r="X12" s="129">
        <f t="shared" si="9"/>
        <v>9.216210656243572</v>
      </c>
    </row>
    <row r="13" spans="1:24" ht="9.75" customHeight="1">
      <c r="A13" s="182"/>
      <c r="B13" s="206" t="s">
        <v>9</v>
      </c>
      <c r="C13" s="207"/>
      <c r="D13" s="130">
        <f>12501+7803+3209+2387+1451+4929+1611+1278+1999+3612+2448</f>
        <v>43228</v>
      </c>
      <c r="E13" s="130">
        <f>10210+5716+2851+1437+1217+3021+1239+645+1475+2803+703</f>
        <v>31317</v>
      </c>
      <c r="F13" s="151">
        <f t="shared" si="0"/>
        <v>72.44609975016193</v>
      </c>
      <c r="G13" s="131">
        <f>3006+878+431+407+192+588+268+233+217+738+556</f>
        <v>7514</v>
      </c>
      <c r="H13" s="154">
        <f t="shared" si="1"/>
        <v>23.99335823993358</v>
      </c>
      <c r="I13" s="155">
        <f t="shared" si="2"/>
        <v>820</v>
      </c>
      <c r="J13" s="156">
        <f t="shared" si="3"/>
        <v>10.912962470055895</v>
      </c>
      <c r="K13" s="158">
        <f t="shared" si="4"/>
        <v>448</v>
      </c>
      <c r="L13" s="156">
        <f t="shared" si="5"/>
        <v>54.63414634146342</v>
      </c>
      <c r="M13" s="74">
        <f>40+31+21+4+2+10+3+4+4+13+6</f>
        <v>138</v>
      </c>
      <c r="N13" s="74">
        <f>5+3+1+1+1+2+1+3</f>
        <v>17</v>
      </c>
      <c r="O13" s="74">
        <f>1+1</f>
        <v>2</v>
      </c>
      <c r="P13" s="74">
        <f>85+38+19+19+12+21+11+19+9+38+20</f>
        <v>291</v>
      </c>
      <c r="Q13" s="74">
        <f>136+10+10+12+2+6+1</f>
        <v>177</v>
      </c>
      <c r="R13" s="132">
        <f>74+30+7+1+22+10+15+21+15</f>
        <v>195</v>
      </c>
      <c r="S13" s="160">
        <f t="shared" si="6"/>
        <v>0.22624434389140274</v>
      </c>
      <c r="T13" s="130">
        <f>2+1+1+1+1+2</f>
        <v>8</v>
      </c>
      <c r="U13" s="164">
        <f t="shared" si="7"/>
        <v>0.10646792653713069</v>
      </c>
      <c r="V13" s="167">
        <f t="shared" si="8"/>
        <v>3.7946428571428568</v>
      </c>
      <c r="W13" s="130">
        <f>305+74+48+30+10+36+33+8+29+91+35</f>
        <v>699</v>
      </c>
      <c r="X13" s="169">
        <f t="shared" si="9"/>
        <v>9.302635081181794</v>
      </c>
    </row>
    <row r="14" spans="1:24" ht="9.75" customHeight="1">
      <c r="A14" s="182"/>
      <c r="B14" s="208" t="s">
        <v>10</v>
      </c>
      <c r="C14" s="209"/>
      <c r="D14" s="60">
        <f>SUM(D5:D13)</f>
        <v>502893</v>
      </c>
      <c r="E14" s="60">
        <f>SUM(E5:E13)</f>
        <v>196648</v>
      </c>
      <c r="F14" s="153">
        <f t="shared" si="0"/>
        <v>39.10334802830821</v>
      </c>
      <c r="G14" s="150">
        <f>SUM(G5:G13)</f>
        <v>46677</v>
      </c>
      <c r="H14" s="64">
        <f t="shared" si="1"/>
        <v>23.73632073552744</v>
      </c>
      <c r="I14" s="63">
        <f>SUM(M14:R14)</f>
        <v>4146</v>
      </c>
      <c r="J14" s="64">
        <f t="shared" si="3"/>
        <v>8.882318915097372</v>
      </c>
      <c r="K14" s="63">
        <f t="shared" si="4"/>
        <v>2438</v>
      </c>
      <c r="L14" s="64">
        <f t="shared" si="5"/>
        <v>58.80366618427399</v>
      </c>
      <c r="M14" s="60">
        <f aca="true" t="shared" si="10" ref="M14:R14">SUM(M5:M13)</f>
        <v>622</v>
      </c>
      <c r="N14" s="60">
        <f t="shared" si="10"/>
        <v>85</v>
      </c>
      <c r="O14" s="60">
        <f t="shared" si="10"/>
        <v>7</v>
      </c>
      <c r="P14" s="60">
        <f t="shared" si="10"/>
        <v>1724</v>
      </c>
      <c r="Q14" s="60">
        <f t="shared" si="10"/>
        <v>808</v>
      </c>
      <c r="R14" s="161">
        <f t="shared" si="10"/>
        <v>900</v>
      </c>
      <c r="S14" s="163">
        <f t="shared" si="6"/>
        <v>0.18210253443880284</v>
      </c>
      <c r="T14" s="60">
        <f>SUM(T5:T13)</f>
        <v>54</v>
      </c>
      <c r="U14" s="166">
        <f t="shared" si="7"/>
        <v>0.1156886689375924</v>
      </c>
      <c r="V14" s="152">
        <f t="shared" si="8"/>
        <v>3.4864643150123054</v>
      </c>
      <c r="W14" s="60">
        <f>SUM(W5:W13)</f>
        <v>8265</v>
      </c>
      <c r="X14" s="170">
        <f t="shared" si="9"/>
        <v>17.706793495725947</v>
      </c>
    </row>
    <row r="15" spans="1:24" ht="9.75" customHeight="1">
      <c r="A15" s="182"/>
      <c r="B15" s="91" t="s">
        <v>11</v>
      </c>
      <c r="C15" s="92" t="s">
        <v>12</v>
      </c>
      <c r="D15" s="87" t="s">
        <v>87</v>
      </c>
      <c r="E15" s="87" t="s">
        <v>87</v>
      </c>
      <c r="F15" s="89" t="s">
        <v>87</v>
      </c>
      <c r="G15" s="133">
        <f>14990+6245+838+257+526+2117</f>
        <v>24973</v>
      </c>
      <c r="H15" s="89" t="s">
        <v>87</v>
      </c>
      <c r="I15" s="45">
        <f t="shared" si="2"/>
        <v>2512</v>
      </c>
      <c r="J15" s="157">
        <f t="shared" si="3"/>
        <v>10.05886357265847</v>
      </c>
      <c r="K15" s="159">
        <f t="shared" si="4"/>
        <v>1274</v>
      </c>
      <c r="L15" s="157">
        <f t="shared" si="5"/>
        <v>50.71656050955414</v>
      </c>
      <c r="M15" s="77">
        <f>142+133+9+9+11+38</f>
        <v>342</v>
      </c>
      <c r="N15" s="77">
        <f>27+8+4+4</f>
        <v>43</v>
      </c>
      <c r="O15" s="77">
        <f>2+1</f>
        <v>3</v>
      </c>
      <c r="P15" s="77">
        <f>445+293+35+21+14+78</f>
        <v>886</v>
      </c>
      <c r="Q15" s="77">
        <f>621+59</f>
        <v>680</v>
      </c>
      <c r="R15" s="134">
        <f>258+142+36+19+46+57</f>
        <v>558</v>
      </c>
      <c r="S15" s="162">
        <f t="shared" si="6"/>
        <v>0.1721859608377047</v>
      </c>
      <c r="T15" s="135">
        <f>22+5+2</f>
        <v>29</v>
      </c>
      <c r="U15" s="165">
        <f t="shared" si="7"/>
        <v>0.11612541544868459</v>
      </c>
      <c r="V15" s="168">
        <f t="shared" si="8"/>
        <v>3.375196232339089</v>
      </c>
      <c r="W15" s="176">
        <f>3244+1376+116+134+202+379</f>
        <v>5451</v>
      </c>
      <c r="X15" s="175">
        <f t="shared" si="9"/>
        <v>21.82757377968206</v>
      </c>
    </row>
    <row r="16" spans="1:24" ht="9.75" customHeight="1" thickBot="1">
      <c r="A16" s="205"/>
      <c r="B16" s="93" t="s">
        <v>13</v>
      </c>
      <c r="C16" s="94" t="s">
        <v>14</v>
      </c>
      <c r="D16" s="88" t="s">
        <v>87</v>
      </c>
      <c r="E16" s="88" t="s">
        <v>87</v>
      </c>
      <c r="F16" s="90" t="s">
        <v>87</v>
      </c>
      <c r="G16" s="136">
        <f>635+333+3325+2987+1467+3411+1282+1496+942+2421+3405</f>
        <v>21704</v>
      </c>
      <c r="H16" s="90" t="s">
        <v>87</v>
      </c>
      <c r="I16" s="122">
        <f t="shared" si="2"/>
        <v>1634</v>
      </c>
      <c r="J16" s="123">
        <f t="shared" si="3"/>
        <v>7.528566162919277</v>
      </c>
      <c r="K16" s="124">
        <f t="shared" si="4"/>
        <v>1164</v>
      </c>
      <c r="L16" s="123">
        <f t="shared" si="5"/>
        <v>71.23623011015911</v>
      </c>
      <c r="M16" s="137">
        <f>6+4+89+38+7+45+8+14+19+22+28</f>
        <v>280</v>
      </c>
      <c r="N16" s="137">
        <f>1+1+13+6+2+6+2+4+2+5</f>
        <v>42</v>
      </c>
      <c r="O16" s="137">
        <f>1+1+2</f>
        <v>4</v>
      </c>
      <c r="P16" s="137">
        <f>17+15+118+132+60+133+54+82+32+90+105</f>
        <v>838</v>
      </c>
      <c r="Q16" s="137">
        <f>1+21+57+10+34+5</f>
        <v>128</v>
      </c>
      <c r="R16" s="139">
        <f>9+3+20+42+2+54+51+47+38+76</f>
        <v>342</v>
      </c>
      <c r="S16" s="126">
        <f t="shared" si="6"/>
        <v>0.1935127165499447</v>
      </c>
      <c r="T16" s="140">
        <f>1+8+3+1+4+1+3+1+3</f>
        <v>25</v>
      </c>
      <c r="U16" s="127">
        <f t="shared" si="7"/>
        <v>0.1151861408035385</v>
      </c>
      <c r="V16" s="128">
        <f t="shared" si="8"/>
        <v>3.608247422680412</v>
      </c>
      <c r="W16" s="177">
        <f>44+34+679+373+184+373+200+37+114+408+368</f>
        <v>2814</v>
      </c>
      <c r="X16" s="129">
        <f t="shared" si="9"/>
        <v>12.965352008846295</v>
      </c>
    </row>
    <row r="17" spans="1:24" ht="9.75" customHeight="1">
      <c r="A17" s="204" t="s">
        <v>35</v>
      </c>
      <c r="B17" s="210" t="s">
        <v>1</v>
      </c>
      <c r="C17" s="211"/>
      <c r="D17" s="107">
        <f>21775+13956+3229+2755+2257+4446+740+750+1201+3911+1234</f>
        <v>56254</v>
      </c>
      <c r="E17" s="107">
        <f>8119+4096+850+791+634+1292+251+347+240+1000+219</f>
        <v>17839</v>
      </c>
      <c r="F17" s="108">
        <f>E17/D17*100</f>
        <v>31.711522736160987</v>
      </c>
      <c r="G17" s="109">
        <f>632+444+188+103+65+146+26+46+34+168+125</f>
        <v>1977</v>
      </c>
      <c r="H17" s="110">
        <f>G17/E17*100</f>
        <v>11.082459779135602</v>
      </c>
      <c r="I17" s="107">
        <f>SUM(M17:R17)</f>
        <v>131</v>
      </c>
      <c r="J17" s="111">
        <f>I17/G17*100</f>
        <v>6.626201315123925</v>
      </c>
      <c r="K17" s="112">
        <f>SUM(M17:P17)</f>
        <v>75</v>
      </c>
      <c r="L17" s="111">
        <f>K17/I17*100</f>
        <v>57.25190839694656</v>
      </c>
      <c r="M17" s="107">
        <f>9+11+5+1+2+3+3</f>
        <v>34</v>
      </c>
      <c r="N17" s="107">
        <v>1</v>
      </c>
      <c r="O17" s="107">
        <v>0</v>
      </c>
      <c r="P17" s="107">
        <f>12+8+4+1+4+2+1+5+3</f>
        <v>40</v>
      </c>
      <c r="Q17" s="107">
        <f>25+7+2</f>
        <v>34</v>
      </c>
      <c r="R17" s="113">
        <f>5+4+2+2+2+1+3+3</f>
        <v>22</v>
      </c>
      <c r="S17" s="114">
        <f>N17/G17*100</f>
        <v>0.05058168942842691</v>
      </c>
      <c r="T17" s="107">
        <v>0</v>
      </c>
      <c r="U17" s="115">
        <f>T17/G17*100</f>
        <v>0</v>
      </c>
      <c r="V17" s="116">
        <f>N17/K17*100</f>
        <v>1.3333333333333335</v>
      </c>
      <c r="W17" s="107">
        <f>408+243+92+48+30+57+3+9+17+84+49</f>
        <v>1040</v>
      </c>
      <c r="X17" s="117">
        <f>W17/G17*100</f>
        <v>52.60495700556399</v>
      </c>
    </row>
    <row r="18" spans="1:24" ht="9.75" customHeight="1">
      <c r="A18" s="182"/>
      <c r="B18" s="202" t="s">
        <v>2</v>
      </c>
      <c r="C18" s="203"/>
      <c r="D18" s="118">
        <f>20641+13051+3456+2854+2416+4548+883+1063+1447+4434+1355</f>
        <v>56148</v>
      </c>
      <c r="E18" s="118">
        <f>7112+3785+869+576+629+1334+246+356+239+997+269</f>
        <v>16412</v>
      </c>
      <c r="F18" s="119">
        <f>E18/D18*100</f>
        <v>29.229892427156802</v>
      </c>
      <c r="G18" s="120">
        <f>950+462+228+169+77+168+37+84+55+266+175</f>
        <v>2671</v>
      </c>
      <c r="H18" s="121">
        <f>G18/E18*100</f>
        <v>16.274677065561786</v>
      </c>
      <c r="I18" s="122">
        <f>SUM(M18:R18)</f>
        <v>138</v>
      </c>
      <c r="J18" s="123">
        <f>I18/G18*100</f>
        <v>5.166604268064395</v>
      </c>
      <c r="K18" s="124">
        <f>SUM(M18:P18)</f>
        <v>73</v>
      </c>
      <c r="L18" s="123">
        <f>K18/I18*100</f>
        <v>52.89855072463768</v>
      </c>
      <c r="M18" s="122">
        <f>8+14+1+2+3+1+3</f>
        <v>32</v>
      </c>
      <c r="N18" s="122">
        <f>1+1</f>
        <v>2</v>
      </c>
      <c r="O18" s="122">
        <v>0</v>
      </c>
      <c r="P18" s="122">
        <f>16+8+2+3+1+1+1+1+2+4</f>
        <v>39</v>
      </c>
      <c r="Q18" s="122">
        <f>26+5+4+3+1</f>
        <v>39</v>
      </c>
      <c r="R18" s="125">
        <f>5+8+1+2+1+2+5+2</f>
        <v>26</v>
      </c>
      <c r="S18" s="126">
        <f>N18/G18*100</f>
        <v>0.07487832272557095</v>
      </c>
      <c r="T18" s="118">
        <f>1+1</f>
        <v>2</v>
      </c>
      <c r="U18" s="127">
        <f>T18/G18*100</f>
        <v>0.07487832272557095</v>
      </c>
      <c r="V18" s="128">
        <f>N18/K18*100</f>
        <v>2.73972602739726</v>
      </c>
      <c r="W18" s="118">
        <f>375+194+51+29+16+24+5+11+17+72+30</f>
        <v>824</v>
      </c>
      <c r="X18" s="129">
        <f>W18/G18*100</f>
        <v>30.84986896293523</v>
      </c>
    </row>
    <row r="19" spans="1:24" ht="9.75" customHeight="1">
      <c r="A19" s="182"/>
      <c r="B19" s="202" t="s">
        <v>3</v>
      </c>
      <c r="C19" s="203"/>
      <c r="D19" s="118">
        <f>20259+13706+4018+3266+2638+5240+1095+1148+1703+4841+1626</f>
        <v>59540</v>
      </c>
      <c r="E19" s="118">
        <f>8111+5328+1256+696+881+1749+331+412+463+1312+373</f>
        <v>20912</v>
      </c>
      <c r="F19" s="119">
        <f aca="true" t="shared" si="11" ref="F19:F26">E19/D19*100</f>
        <v>35.12260665099093</v>
      </c>
      <c r="G19" s="120">
        <f>1264+567+268+243+125+275+58+130+86+348+251</f>
        <v>3615</v>
      </c>
      <c r="H19" s="121">
        <f aca="true" t="shared" si="12" ref="H19:H26">G19/E19*100</f>
        <v>17.28672532517215</v>
      </c>
      <c r="I19" s="122">
        <f aca="true" t="shared" si="13" ref="I19:I28">SUM(M19:R19)</f>
        <v>181</v>
      </c>
      <c r="J19" s="123">
        <f aca="true" t="shared" si="14" ref="J19:J28">I19/G19*100</f>
        <v>5.006915629322268</v>
      </c>
      <c r="K19" s="124">
        <f aca="true" t="shared" si="15" ref="K19:K28">SUM(M19:P19)</f>
        <v>110</v>
      </c>
      <c r="L19" s="123">
        <f aca="true" t="shared" si="16" ref="L19:L28">K19/I19*100</f>
        <v>60.773480662983424</v>
      </c>
      <c r="M19" s="122">
        <f>15+17+7+4+5+2+1+5</f>
        <v>56</v>
      </c>
      <c r="N19" s="122">
        <f>1+1</f>
        <v>2</v>
      </c>
      <c r="O19" s="122">
        <v>0</v>
      </c>
      <c r="P19" s="122">
        <f>17+7+1+5+2+5+3+8+4</f>
        <v>52</v>
      </c>
      <c r="Q19" s="122">
        <f>25+1+1+1+1</f>
        <v>29</v>
      </c>
      <c r="R19" s="125">
        <f>10+9+1+2+3+2+5+1+6+3</f>
        <v>42</v>
      </c>
      <c r="S19" s="126">
        <f aca="true" t="shared" si="17" ref="S19:S28">N19/G19*100</f>
        <v>0.05532503457814661</v>
      </c>
      <c r="T19" s="118">
        <f>1+1</f>
        <v>2</v>
      </c>
      <c r="U19" s="127">
        <f aca="true" t="shared" si="18" ref="U19:U28">T19/G19*100</f>
        <v>0.05532503457814661</v>
      </c>
      <c r="V19" s="128">
        <f aca="true" t="shared" si="19" ref="V19:V28">N19/K19*100</f>
        <v>1.8181818181818181</v>
      </c>
      <c r="W19" s="118">
        <f>425+195+56+38+28+42+7+18+28+99+35</f>
        <v>971</v>
      </c>
      <c r="X19" s="129">
        <f aca="true" t="shared" si="20" ref="X19:X28">W19/G19*100</f>
        <v>26.86030428769018</v>
      </c>
    </row>
    <row r="20" spans="1:24" ht="9.75" customHeight="1">
      <c r="A20" s="182"/>
      <c r="B20" s="202" t="s">
        <v>4</v>
      </c>
      <c r="C20" s="203"/>
      <c r="D20" s="118">
        <f>25832+18556+5427+4621+3337+6543+1282+1391+2103+5731+2068</f>
        <v>76891</v>
      </c>
      <c r="E20" s="118">
        <f>12186+8895+2323+1349+1491+2823+511+653+729+2031+622</f>
        <v>33613</v>
      </c>
      <c r="F20" s="119">
        <f t="shared" si="11"/>
        <v>43.71512920888011</v>
      </c>
      <c r="G20" s="120">
        <f>2264+960+608+482+307+604+143+256+164+631+484</f>
        <v>6903</v>
      </c>
      <c r="H20" s="121">
        <f t="shared" si="12"/>
        <v>20.536697111236723</v>
      </c>
      <c r="I20" s="122">
        <f t="shared" si="13"/>
        <v>387</v>
      </c>
      <c r="J20" s="123">
        <f t="shared" si="14"/>
        <v>5.60625814863103</v>
      </c>
      <c r="K20" s="124">
        <f t="shared" si="15"/>
        <v>243</v>
      </c>
      <c r="L20" s="123">
        <f t="shared" si="16"/>
        <v>62.7906976744186</v>
      </c>
      <c r="M20" s="122">
        <f>25+16+13+8+4+10+5+4+12+4</f>
        <v>101</v>
      </c>
      <c r="N20" s="122">
        <v>3</v>
      </c>
      <c r="O20" s="122">
        <v>1</v>
      </c>
      <c r="P20" s="122">
        <f>42+24+12+10+8+9+2+5+1+19+6</f>
        <v>138</v>
      </c>
      <c r="Q20" s="122">
        <f>56+11+2+3+3+3</f>
        <v>78</v>
      </c>
      <c r="R20" s="125">
        <f>26+5+3+3+5+2+8+8+6</f>
        <v>66</v>
      </c>
      <c r="S20" s="126">
        <f t="shared" si="17"/>
        <v>0.0434593654932638</v>
      </c>
      <c r="T20" s="118">
        <v>1</v>
      </c>
      <c r="U20" s="127">
        <f t="shared" si="18"/>
        <v>0.014486455164421265</v>
      </c>
      <c r="V20" s="128">
        <f t="shared" si="19"/>
        <v>1.2345679012345678</v>
      </c>
      <c r="W20" s="118">
        <f>656+300+116+79+50+77+33+37+44+123+65</f>
        <v>1580</v>
      </c>
      <c r="X20" s="129">
        <f t="shared" si="20"/>
        <v>22.8885991597856</v>
      </c>
    </row>
    <row r="21" spans="1:24" ht="9.75" customHeight="1">
      <c r="A21" s="182"/>
      <c r="B21" s="202" t="s">
        <v>5</v>
      </c>
      <c r="C21" s="203"/>
      <c r="D21" s="118">
        <f>23410+17482+4840+4112+2771+6492+1214+1205+1849+4797+1736</f>
        <v>69908</v>
      </c>
      <c r="E21" s="118">
        <f>15285+11119+3267+1947+1811+3507+600+708+1182+2715+715</f>
        <v>42856</v>
      </c>
      <c r="F21" s="119">
        <f t="shared" si="11"/>
        <v>61.30342736167535</v>
      </c>
      <c r="G21" s="120">
        <f>3878+1737+1025+834+579+1030+223+366+276+964+588</f>
        <v>11500</v>
      </c>
      <c r="H21" s="121">
        <f t="shared" si="12"/>
        <v>26.83404890797088</v>
      </c>
      <c r="I21" s="122">
        <f t="shared" si="13"/>
        <v>656</v>
      </c>
      <c r="J21" s="123">
        <f t="shared" si="14"/>
        <v>5.7043478260869565</v>
      </c>
      <c r="K21" s="124">
        <f t="shared" si="15"/>
        <v>413</v>
      </c>
      <c r="L21" s="123">
        <f t="shared" si="16"/>
        <v>62.95731707317073</v>
      </c>
      <c r="M21" s="122">
        <f>41+32+16+12+6+17+1+7+5+13+1</f>
        <v>151</v>
      </c>
      <c r="N21" s="122">
        <f>5+2+1+1+2</f>
        <v>11</v>
      </c>
      <c r="O21" s="122">
        <v>1</v>
      </c>
      <c r="P21" s="122">
        <f>70+45+25+15+10+26+6+12+9+22+10</f>
        <v>250</v>
      </c>
      <c r="Q21" s="122">
        <f>108+6+5+10+1+7+2+1</f>
        <v>140</v>
      </c>
      <c r="R21" s="125">
        <f>27+14+5+6+2+8+10+13+14+4</f>
        <v>103</v>
      </c>
      <c r="S21" s="126">
        <f t="shared" si="17"/>
        <v>0.09565217391304348</v>
      </c>
      <c r="T21" s="118">
        <f>5+2+2</f>
        <v>9</v>
      </c>
      <c r="U21" s="127">
        <f t="shared" si="18"/>
        <v>0.0782608695652174</v>
      </c>
      <c r="V21" s="128">
        <f t="shared" si="19"/>
        <v>2.663438256658596</v>
      </c>
      <c r="W21" s="118">
        <f>1088+476+209+124+85+152+47+36+71+148+58</f>
        <v>2494</v>
      </c>
      <c r="X21" s="129">
        <f t="shared" si="20"/>
        <v>21.68695652173913</v>
      </c>
    </row>
    <row r="22" spans="1:24" ht="9.75" customHeight="1">
      <c r="A22" s="182"/>
      <c r="B22" s="202" t="s">
        <v>6</v>
      </c>
      <c r="C22" s="203"/>
      <c r="D22" s="118">
        <f>20192+14864+4221+3629+2266+5911+1281+1199+1793+4698+1650</f>
        <v>61704</v>
      </c>
      <c r="E22" s="118">
        <f>15323+10786+3549+2167+1797+3760+774+773+1595+3469+822</f>
        <v>44815</v>
      </c>
      <c r="F22" s="119">
        <f t="shared" si="11"/>
        <v>72.62900298197847</v>
      </c>
      <c r="G22" s="120">
        <f>4980+2213+1194+1020+512+1312+324+477+410+1143+720</f>
        <v>14305</v>
      </c>
      <c r="H22" s="121">
        <f t="shared" si="12"/>
        <v>31.920116032578377</v>
      </c>
      <c r="I22" s="122">
        <f t="shared" si="13"/>
        <v>851</v>
      </c>
      <c r="J22" s="123">
        <f t="shared" si="14"/>
        <v>5.948968891995806</v>
      </c>
      <c r="K22" s="124">
        <f t="shared" si="15"/>
        <v>562</v>
      </c>
      <c r="L22" s="123">
        <f t="shared" si="16"/>
        <v>66.03995299647474</v>
      </c>
      <c r="M22" s="122">
        <f>60+44+18+9+6+21+1+13+8+14+7</f>
        <v>201</v>
      </c>
      <c r="N22" s="122">
        <f>7+1+1+3+2</f>
        <v>14</v>
      </c>
      <c r="O22" s="122">
        <f>2+1+1</f>
        <v>4</v>
      </c>
      <c r="P22" s="122">
        <f>88+57+37+32+16+42+10+12+9+27+13</f>
        <v>343</v>
      </c>
      <c r="Q22" s="122">
        <f>129+10+4+11+4+1+3</f>
        <v>162</v>
      </c>
      <c r="R22" s="125">
        <f>42+14+4+6+16+12+12+12+9</f>
        <v>127</v>
      </c>
      <c r="S22" s="126">
        <f t="shared" si="17"/>
        <v>0.09786787836420832</v>
      </c>
      <c r="T22" s="118">
        <f>5+1+1+1+1</f>
        <v>9</v>
      </c>
      <c r="U22" s="127">
        <f t="shared" si="18"/>
        <v>0.06291506466270536</v>
      </c>
      <c r="V22" s="128">
        <f t="shared" si="19"/>
        <v>2.491103202846975</v>
      </c>
      <c r="W22" s="118">
        <f>1048+457+232+97+37+174+49+46+101+141+49</f>
        <v>2431</v>
      </c>
      <c r="X22" s="129">
        <f t="shared" si="20"/>
        <v>16.994058021670742</v>
      </c>
    </row>
    <row r="23" spans="1:24" ht="9.75" customHeight="1">
      <c r="A23" s="182"/>
      <c r="B23" s="202" t="s">
        <v>7</v>
      </c>
      <c r="C23" s="203"/>
      <c r="D23" s="118">
        <f>18785+12945+4259+3452+2224+5755+1506+1607+2079+5145+1943</f>
        <v>59700</v>
      </c>
      <c r="E23" s="118">
        <f>15285+19040+3859+2238+1953+4200+1234+1043+2005+4244+1054</f>
        <v>56155</v>
      </c>
      <c r="F23" s="119">
        <f t="shared" si="11"/>
        <v>94.06197654941374</v>
      </c>
      <c r="G23" s="120">
        <f>6075+2616+1043+993+480+1258+487+661+537+1388+883</f>
        <v>16421</v>
      </c>
      <c r="H23" s="121">
        <f t="shared" si="12"/>
        <v>29.242275843647047</v>
      </c>
      <c r="I23" s="122">
        <f t="shared" si="13"/>
        <v>1166</v>
      </c>
      <c r="J23" s="123">
        <f t="shared" si="14"/>
        <v>7.100663784178796</v>
      </c>
      <c r="K23" s="124">
        <f t="shared" si="15"/>
        <v>767</v>
      </c>
      <c r="L23" s="123">
        <f t="shared" si="16"/>
        <v>65.78044596912521</v>
      </c>
      <c r="M23" s="122">
        <f>70+58+30+8+10+25+3+19+4+25+9</f>
        <v>261</v>
      </c>
      <c r="N23" s="122">
        <f>8+2+1+2+3+2</f>
        <v>18</v>
      </c>
      <c r="O23" s="122">
        <f>3+1</f>
        <v>4</v>
      </c>
      <c r="P23" s="122">
        <f>152+86+29+45+21+40+13+24+10+36+28</f>
        <v>484</v>
      </c>
      <c r="Q23" s="122">
        <f>173+19+2+13+7+2</f>
        <v>216</v>
      </c>
      <c r="R23" s="125">
        <f>53+32+3+4+17+22+23+15+14</f>
        <v>183</v>
      </c>
      <c r="S23" s="126">
        <f t="shared" si="17"/>
        <v>0.10961573594787163</v>
      </c>
      <c r="T23" s="118">
        <f>5+1+2+1</f>
        <v>9</v>
      </c>
      <c r="U23" s="127">
        <f t="shared" si="18"/>
        <v>0.05480786797393582</v>
      </c>
      <c r="V23" s="128">
        <f t="shared" si="19"/>
        <v>2.346805736636245</v>
      </c>
      <c r="W23" s="118">
        <f>918+328+150+70+33+114+58+51+44+156+46</f>
        <v>1968</v>
      </c>
      <c r="X23" s="129">
        <f t="shared" si="20"/>
        <v>11.984653796967299</v>
      </c>
    </row>
    <row r="24" spans="1:24" ht="9.75" customHeight="1">
      <c r="A24" s="182"/>
      <c r="B24" s="202" t="s">
        <v>8</v>
      </c>
      <c r="C24" s="203"/>
      <c r="D24" s="118">
        <f>17238+11053+4004+3159+1920+5879+1631+1574+2226+5105+2193</f>
        <v>55982</v>
      </c>
      <c r="E24" s="118">
        <f>15285+8885+3730+2090+1665+4023+1279+938+2165+4237+1062</f>
        <v>45359</v>
      </c>
      <c r="F24" s="119">
        <f t="shared" si="11"/>
        <v>81.02425779714908</v>
      </c>
      <c r="G24" s="120">
        <f>5546+1955+754+774+383+1030+451+451+486+1351+896</f>
        <v>14077</v>
      </c>
      <c r="H24" s="121">
        <f t="shared" si="12"/>
        <v>31.03463480235455</v>
      </c>
      <c r="I24" s="122">
        <f t="shared" si="13"/>
        <v>1076</v>
      </c>
      <c r="J24" s="123">
        <f t="shared" si="14"/>
        <v>7.643674078283726</v>
      </c>
      <c r="K24" s="124">
        <f t="shared" si="15"/>
        <v>655</v>
      </c>
      <c r="L24" s="123">
        <f t="shared" si="16"/>
        <v>60.87360594795539</v>
      </c>
      <c r="M24" s="122">
        <f>57+50+19+14+6+18+2+9+13+24+11</f>
        <v>223</v>
      </c>
      <c r="N24" s="122">
        <f>8+4+1+1+1+2+1+2+1</f>
        <v>21</v>
      </c>
      <c r="O24" s="122">
        <f>1+2</f>
        <v>3</v>
      </c>
      <c r="P24" s="122">
        <f>130+59+24+36+16+33+14+19+15+40+22</f>
        <v>408</v>
      </c>
      <c r="Q24" s="122">
        <f>166+19+2+1+11+8+1+2</f>
        <v>210</v>
      </c>
      <c r="R24" s="125">
        <f>81+31+4+10+1+27+11+11+16+19</f>
        <v>211</v>
      </c>
      <c r="S24" s="126">
        <f t="shared" si="17"/>
        <v>0.14917951268025859</v>
      </c>
      <c r="T24" s="118">
        <f>8+4+1+1+1+1+1+1</f>
        <v>18</v>
      </c>
      <c r="U24" s="127">
        <f t="shared" si="18"/>
        <v>0.12786815372593593</v>
      </c>
      <c r="V24" s="128">
        <f t="shared" si="19"/>
        <v>3.2061068702290076</v>
      </c>
      <c r="W24" s="118">
        <f>460+140+80+54+13+73+39+20+47+128+55</f>
        <v>1109</v>
      </c>
      <c r="X24" s="129">
        <f t="shared" si="20"/>
        <v>7.878099026781274</v>
      </c>
    </row>
    <row r="25" spans="1:24" ht="9.75" customHeight="1">
      <c r="A25" s="182"/>
      <c r="B25" s="206" t="s">
        <v>9</v>
      </c>
      <c r="C25" s="207"/>
      <c r="D25" s="130">
        <f>25898+16587+6540+5184+3108+10302+3206+2492+4085+7925+4199</f>
        <v>89526</v>
      </c>
      <c r="E25" s="130">
        <f>23365+12702+5577+3010+2698+6440+2040+974+3003+6197+985</f>
        <v>66991</v>
      </c>
      <c r="F25" s="151">
        <f t="shared" si="11"/>
        <v>74.82854142930545</v>
      </c>
      <c r="G25" s="131">
        <f>5045+1552+480+557+189+578+308+252+350+929+756</f>
        <v>10996</v>
      </c>
      <c r="H25" s="154">
        <f t="shared" si="12"/>
        <v>16.414145183681388</v>
      </c>
      <c r="I25" s="155">
        <f t="shared" si="13"/>
        <v>1053</v>
      </c>
      <c r="J25" s="156">
        <f t="shared" si="14"/>
        <v>9.57620953073845</v>
      </c>
      <c r="K25" s="158">
        <f t="shared" si="15"/>
        <v>479</v>
      </c>
      <c r="L25" s="156">
        <f t="shared" si="16"/>
        <v>45.489078822412154</v>
      </c>
      <c r="M25" s="74">
        <f>68+44+14+7+5+7+2+5+7+19+12</f>
        <v>190</v>
      </c>
      <c r="N25" s="74">
        <f>3+7+1+2+2+2+2+1</f>
        <v>20</v>
      </c>
      <c r="O25" s="74">
        <v>1</v>
      </c>
      <c r="P25" s="74">
        <f>97+39+11+25+3+22+6+7+14+17+27</f>
        <v>268</v>
      </c>
      <c r="Q25" s="74">
        <f>242+18+6+7+1+9+2+1</f>
        <v>286</v>
      </c>
      <c r="R25" s="132">
        <f>142+38+11+1+17+11+31+21+16</f>
        <v>288</v>
      </c>
      <c r="S25" s="160">
        <f t="shared" si="17"/>
        <v>0.18188432157148052</v>
      </c>
      <c r="T25" s="130">
        <f>3+4+1+1+1</f>
        <v>10</v>
      </c>
      <c r="U25" s="164">
        <f t="shared" si="18"/>
        <v>0.09094216078574026</v>
      </c>
      <c r="V25" s="167">
        <f t="shared" si="19"/>
        <v>4.175365344467641</v>
      </c>
      <c r="W25" s="130">
        <f>541+161+71+44+6+57+27+12+69+108+44</f>
        <v>1140</v>
      </c>
      <c r="X25" s="169">
        <f t="shared" si="20"/>
        <v>10.367406329574392</v>
      </c>
    </row>
    <row r="26" spans="1:24" ht="9.75" customHeight="1">
      <c r="A26" s="182"/>
      <c r="B26" s="208" t="s">
        <v>10</v>
      </c>
      <c r="C26" s="209"/>
      <c r="D26" s="60">
        <f>SUM(D17:D25)</f>
        <v>585653</v>
      </c>
      <c r="E26" s="60">
        <f>SUM(E17:E25)</f>
        <v>344952</v>
      </c>
      <c r="F26" s="153">
        <f t="shared" si="11"/>
        <v>58.90040689623378</v>
      </c>
      <c r="G26" s="150">
        <f>SUM(G17:G25)</f>
        <v>82465</v>
      </c>
      <c r="H26" s="64">
        <f t="shared" si="12"/>
        <v>23.906224634152</v>
      </c>
      <c r="I26" s="63">
        <f>SUM(M26:R26)</f>
        <v>5639</v>
      </c>
      <c r="J26" s="64">
        <f t="shared" si="14"/>
        <v>6.838052507124234</v>
      </c>
      <c r="K26" s="63">
        <f t="shared" si="15"/>
        <v>3377</v>
      </c>
      <c r="L26" s="64">
        <f t="shared" si="16"/>
        <v>59.886504699414786</v>
      </c>
      <c r="M26" s="60">
        <f aca="true" t="shared" si="21" ref="M26:R26">SUM(M17:M25)</f>
        <v>1249</v>
      </c>
      <c r="N26" s="60">
        <f t="shared" si="21"/>
        <v>92</v>
      </c>
      <c r="O26" s="60">
        <f t="shared" si="21"/>
        <v>14</v>
      </c>
      <c r="P26" s="60">
        <f t="shared" si="21"/>
        <v>2022</v>
      </c>
      <c r="Q26" s="60">
        <f t="shared" si="21"/>
        <v>1194</v>
      </c>
      <c r="R26" s="65">
        <f t="shared" si="21"/>
        <v>1068</v>
      </c>
      <c r="S26" s="163">
        <f t="shared" si="17"/>
        <v>0.11156248105256776</v>
      </c>
      <c r="T26" s="60">
        <f>SUM(T17:T25)</f>
        <v>60</v>
      </c>
      <c r="U26" s="166">
        <f t="shared" si="18"/>
        <v>0.07275813981689201</v>
      </c>
      <c r="V26" s="152">
        <f t="shared" si="19"/>
        <v>2.7243115190997926</v>
      </c>
      <c r="W26" s="60">
        <f>SUM(W17:W25)</f>
        <v>13557</v>
      </c>
      <c r="X26" s="170">
        <f t="shared" si="20"/>
        <v>16.43970169162675</v>
      </c>
    </row>
    <row r="27" spans="1:24" ht="9.75" customHeight="1">
      <c r="A27" s="182"/>
      <c r="B27" s="91" t="s">
        <v>11</v>
      </c>
      <c r="C27" s="92" t="s">
        <v>12</v>
      </c>
      <c r="D27" s="87" t="s">
        <v>88</v>
      </c>
      <c r="E27" s="87" t="s">
        <v>88</v>
      </c>
      <c r="F27" s="89" t="s">
        <v>88</v>
      </c>
      <c r="G27" s="133">
        <f>29615+11791+1163+432+1057+3842</f>
        <v>47900</v>
      </c>
      <c r="H27" s="89" t="s">
        <v>88</v>
      </c>
      <c r="I27" s="45">
        <f t="shared" si="13"/>
        <v>3665</v>
      </c>
      <c r="J27" s="157">
        <f t="shared" si="14"/>
        <v>7.651356993736952</v>
      </c>
      <c r="K27" s="159">
        <f t="shared" si="15"/>
        <v>1895</v>
      </c>
      <c r="L27" s="157">
        <f t="shared" si="16"/>
        <v>51.705320600272856</v>
      </c>
      <c r="M27" s="77">
        <f>345+268+15+14+12+67</f>
        <v>721</v>
      </c>
      <c r="N27" s="77">
        <v>62</v>
      </c>
      <c r="O27" s="77">
        <f>7+4+1</f>
        <v>12</v>
      </c>
      <c r="P27" s="77">
        <f>601+318+38+26+20+97</f>
        <v>1100</v>
      </c>
      <c r="Q27" s="77">
        <f>950+95</f>
        <v>1045</v>
      </c>
      <c r="R27" s="134">
        <f>378+151+46+34+56+60</f>
        <v>725</v>
      </c>
      <c r="S27" s="162">
        <f t="shared" si="17"/>
        <v>0.12943632567849686</v>
      </c>
      <c r="T27" s="135">
        <f>29+12+1+4</f>
        <v>46</v>
      </c>
      <c r="U27" s="165">
        <f t="shared" si="18"/>
        <v>0.09603340292275574</v>
      </c>
      <c r="V27" s="168">
        <f t="shared" si="19"/>
        <v>3.271767810026385</v>
      </c>
      <c r="W27" s="176">
        <f>5853+2444+165+175+287+637</f>
        <v>9561</v>
      </c>
      <c r="X27" s="175">
        <f t="shared" si="20"/>
        <v>19.960334029227557</v>
      </c>
    </row>
    <row r="28" spans="1:24" ht="9.75" customHeight="1" thickBot="1">
      <c r="A28" s="205"/>
      <c r="B28" s="93" t="s">
        <v>13</v>
      </c>
      <c r="C28" s="94" t="s">
        <v>14</v>
      </c>
      <c r="D28" s="88" t="s">
        <v>88</v>
      </c>
      <c r="E28" s="88" t="s">
        <v>88</v>
      </c>
      <c r="F28" s="90" t="s">
        <v>88</v>
      </c>
      <c r="G28" s="136">
        <f>1019+715+5788+5175+2717+5238+2057+2291+1341+3346+4878</f>
        <v>34565</v>
      </c>
      <c r="H28" s="90" t="s">
        <v>88</v>
      </c>
      <c r="I28" s="122">
        <f t="shared" si="13"/>
        <v>1974</v>
      </c>
      <c r="J28" s="123">
        <f t="shared" si="14"/>
        <v>5.710979314335311</v>
      </c>
      <c r="K28" s="124">
        <f t="shared" si="15"/>
        <v>1482</v>
      </c>
      <c r="L28" s="123">
        <f t="shared" si="16"/>
        <v>75.07598784194529</v>
      </c>
      <c r="M28" s="137">
        <f>8+18+123+64+38+93+9+45+31+47+52</f>
        <v>528</v>
      </c>
      <c r="N28" s="137">
        <f>3+5+2+4+2+5+4+2+2+1</f>
        <v>30</v>
      </c>
      <c r="O28" s="137">
        <f>1+1</f>
        <v>2</v>
      </c>
      <c r="P28" s="137">
        <f>23+15+145+172+77+144+52+59+39+79+117</f>
        <v>922</v>
      </c>
      <c r="Q28" s="137">
        <f>1+26+1+59+2+41+9+10</f>
        <v>149</v>
      </c>
      <c r="R28" s="139">
        <f>13+4+23+46+7+49+41+44+40+76</f>
        <v>343</v>
      </c>
      <c r="S28" s="126">
        <f t="shared" si="17"/>
        <v>0.08679299869810501</v>
      </c>
      <c r="T28" s="140">
        <f>5+1+1+3+1+1+2</f>
        <v>14</v>
      </c>
      <c r="U28" s="127">
        <f t="shared" si="18"/>
        <v>0.040503399392449006</v>
      </c>
      <c r="V28" s="128">
        <f t="shared" si="19"/>
        <v>2.0242914979757085</v>
      </c>
      <c r="W28" s="177">
        <f>66+50+1057+583+298+605+268+65+151+422+431</f>
        <v>3996</v>
      </c>
      <c r="X28" s="129">
        <f t="shared" si="20"/>
        <v>11.560827426587588</v>
      </c>
    </row>
    <row r="29" spans="1:24" ht="9.75" customHeight="1">
      <c r="A29" s="204" t="s">
        <v>36</v>
      </c>
      <c r="B29" s="210" t="s">
        <v>1</v>
      </c>
      <c r="C29" s="211"/>
      <c r="D29" s="107">
        <f>D5+D17</f>
        <v>111580</v>
      </c>
      <c r="E29" s="107">
        <f>E5+E17</f>
        <v>25960</v>
      </c>
      <c r="F29" s="108">
        <f>E29/D29*100</f>
        <v>23.265818246997668</v>
      </c>
      <c r="G29" s="109">
        <f aca="true" t="shared" si="22" ref="G29:G37">G5+G17</f>
        <v>2660</v>
      </c>
      <c r="H29" s="110">
        <f>G29/E29*100</f>
        <v>10.24653312788906</v>
      </c>
      <c r="I29" s="107">
        <f aca="true" t="shared" si="23" ref="I29:I40">SUM(M29:R29)</f>
        <v>165</v>
      </c>
      <c r="J29" s="111">
        <f>I29/G29*100</f>
        <v>6.203007518796992</v>
      </c>
      <c r="K29" s="112">
        <f>SUM(M29:P29)</f>
        <v>94</v>
      </c>
      <c r="L29" s="111">
        <f>K29/I29*100</f>
        <v>56.96969696969697</v>
      </c>
      <c r="M29" s="107">
        <f aca="true" t="shared" si="24" ref="M29:R30">M5+M17</f>
        <v>41</v>
      </c>
      <c r="N29" s="107">
        <f t="shared" si="24"/>
        <v>1</v>
      </c>
      <c r="O29" s="107">
        <f t="shared" si="24"/>
        <v>0</v>
      </c>
      <c r="P29" s="107">
        <f t="shared" si="24"/>
        <v>52</v>
      </c>
      <c r="Q29" s="107">
        <f t="shared" si="24"/>
        <v>39</v>
      </c>
      <c r="R29" s="113">
        <f t="shared" si="24"/>
        <v>32</v>
      </c>
      <c r="S29" s="114">
        <f>N29/G29*100</f>
        <v>0.03759398496240602</v>
      </c>
      <c r="T29" s="107">
        <f aca="true" t="shared" si="25" ref="T29:T37">T5+T17</f>
        <v>1</v>
      </c>
      <c r="U29" s="115">
        <f>T29/G29*100</f>
        <v>0.03759398496240602</v>
      </c>
      <c r="V29" s="116">
        <f>N29/K29*100</f>
        <v>1.0638297872340425</v>
      </c>
      <c r="W29" s="107">
        <f aca="true" t="shared" si="26" ref="W29:W37">W5+W17</f>
        <v>1406</v>
      </c>
      <c r="X29" s="117">
        <f>W29/G29*100</f>
        <v>52.85714285714286</v>
      </c>
    </row>
    <row r="30" spans="1:24" ht="9.75" customHeight="1">
      <c r="A30" s="182"/>
      <c r="B30" s="202" t="s">
        <v>2</v>
      </c>
      <c r="C30" s="203"/>
      <c r="D30" s="118">
        <f>D6+D18</f>
        <v>110995</v>
      </c>
      <c r="E30" s="118">
        <f>E6+E18</f>
        <v>24547</v>
      </c>
      <c r="F30" s="119">
        <f>E30/D30*100</f>
        <v>22.115410604081266</v>
      </c>
      <c r="G30" s="172">
        <f t="shared" si="22"/>
        <v>3568</v>
      </c>
      <c r="H30" s="121">
        <f>G30/E30*100</f>
        <v>14.535381105634091</v>
      </c>
      <c r="I30" s="122">
        <f t="shared" si="23"/>
        <v>192</v>
      </c>
      <c r="J30" s="123">
        <f>I30/G30*100</f>
        <v>5.381165919282512</v>
      </c>
      <c r="K30" s="124">
        <f>SUM(M30:P30)</f>
        <v>105</v>
      </c>
      <c r="L30" s="123">
        <f>K30/I30*100</f>
        <v>54.6875</v>
      </c>
      <c r="M30" s="118">
        <f t="shared" si="24"/>
        <v>42</v>
      </c>
      <c r="N30" s="118">
        <f t="shared" si="24"/>
        <v>2</v>
      </c>
      <c r="O30" s="118">
        <f t="shared" si="24"/>
        <v>1</v>
      </c>
      <c r="P30" s="118">
        <f t="shared" si="24"/>
        <v>60</v>
      </c>
      <c r="Q30" s="118">
        <f t="shared" si="24"/>
        <v>48</v>
      </c>
      <c r="R30" s="173">
        <f t="shared" si="24"/>
        <v>39</v>
      </c>
      <c r="S30" s="126">
        <f>N30/G30*100</f>
        <v>0.05605381165919283</v>
      </c>
      <c r="T30" s="118">
        <f t="shared" si="25"/>
        <v>2</v>
      </c>
      <c r="U30" s="127">
        <f>T30/G30*100</f>
        <v>0.05605381165919283</v>
      </c>
      <c r="V30" s="128">
        <f>N30/K30*100</f>
        <v>1.9047619047619049</v>
      </c>
      <c r="W30" s="118">
        <f t="shared" si="26"/>
        <v>1097</v>
      </c>
      <c r="X30" s="129">
        <f>W30/G30*100</f>
        <v>30.745515695067265</v>
      </c>
    </row>
    <row r="31" spans="1:24" ht="9.75" customHeight="1">
      <c r="A31" s="182"/>
      <c r="B31" s="202" t="s">
        <v>3</v>
      </c>
      <c r="C31" s="203"/>
      <c r="D31" s="118">
        <f aca="true" t="shared" si="27" ref="D31:E37">D7+D19</f>
        <v>118972</v>
      </c>
      <c r="E31" s="118">
        <f t="shared" si="27"/>
        <v>30362</v>
      </c>
      <c r="F31" s="119">
        <f aca="true" t="shared" si="28" ref="F31:F38">E31/D31*100</f>
        <v>25.520290488518306</v>
      </c>
      <c r="G31" s="172">
        <f t="shared" si="22"/>
        <v>4933</v>
      </c>
      <c r="H31" s="121">
        <f aca="true" t="shared" si="29" ref="H31:H37">G31/E31*100</f>
        <v>16.247282787695145</v>
      </c>
      <c r="I31" s="122">
        <f t="shared" si="23"/>
        <v>269</v>
      </c>
      <c r="J31" s="123">
        <f aca="true" t="shared" si="30" ref="J31:J40">I31/G31*100</f>
        <v>5.453071153456315</v>
      </c>
      <c r="K31" s="124">
        <f aca="true" t="shared" si="31" ref="K31:K40">SUM(M31:P31)</f>
        <v>153</v>
      </c>
      <c r="L31" s="123">
        <f aca="true" t="shared" si="32" ref="L31:L40">K31/I31*100</f>
        <v>56.877323420074354</v>
      </c>
      <c r="M31" s="118">
        <f aca="true" t="shared" si="33" ref="M31:R31">M7+M19</f>
        <v>65</v>
      </c>
      <c r="N31" s="118">
        <f t="shared" si="33"/>
        <v>2</v>
      </c>
      <c r="O31" s="118">
        <f t="shared" si="33"/>
        <v>1</v>
      </c>
      <c r="P31" s="118">
        <f t="shared" si="33"/>
        <v>85</v>
      </c>
      <c r="Q31" s="118">
        <f t="shared" si="33"/>
        <v>50</v>
      </c>
      <c r="R31" s="173">
        <f t="shared" si="33"/>
        <v>66</v>
      </c>
      <c r="S31" s="126">
        <f aca="true" t="shared" si="34" ref="S31:S40">N31/G31*100</f>
        <v>0.040543279951348064</v>
      </c>
      <c r="T31" s="118">
        <f t="shared" si="25"/>
        <v>2</v>
      </c>
      <c r="U31" s="127">
        <f aca="true" t="shared" si="35" ref="U31:U40">T31/G31*100</f>
        <v>0.040543279951348064</v>
      </c>
      <c r="V31" s="128">
        <f aca="true" t="shared" si="36" ref="V31:V40">N31/K31*100</f>
        <v>1.3071895424836601</v>
      </c>
      <c r="W31" s="118">
        <f t="shared" si="26"/>
        <v>1296</v>
      </c>
      <c r="X31" s="129">
        <f aca="true" t="shared" si="37" ref="X31:X40">W31/G31*100</f>
        <v>26.272045408473545</v>
      </c>
    </row>
    <row r="32" spans="1:24" ht="9.75" customHeight="1">
      <c r="A32" s="182"/>
      <c r="B32" s="202" t="s">
        <v>4</v>
      </c>
      <c r="C32" s="203"/>
      <c r="D32" s="118">
        <f t="shared" si="27"/>
        <v>152125</v>
      </c>
      <c r="E32" s="118">
        <f t="shared" si="27"/>
        <v>48182</v>
      </c>
      <c r="F32" s="119">
        <f t="shared" si="28"/>
        <v>31.672637633525063</v>
      </c>
      <c r="G32" s="172">
        <f t="shared" si="22"/>
        <v>9153</v>
      </c>
      <c r="H32" s="121">
        <f t="shared" si="29"/>
        <v>18.996720767091446</v>
      </c>
      <c r="I32" s="122">
        <f t="shared" si="23"/>
        <v>545</v>
      </c>
      <c r="J32" s="123">
        <f t="shared" si="30"/>
        <v>5.954331913033978</v>
      </c>
      <c r="K32" s="124">
        <f t="shared" si="31"/>
        <v>327</v>
      </c>
      <c r="L32" s="123">
        <f t="shared" si="32"/>
        <v>60</v>
      </c>
      <c r="M32" s="118">
        <f aca="true" t="shared" si="38" ref="M32:R32">M8+M20</f>
        <v>132</v>
      </c>
      <c r="N32" s="118">
        <f t="shared" si="38"/>
        <v>6</v>
      </c>
      <c r="O32" s="118">
        <f t="shared" si="38"/>
        <v>1</v>
      </c>
      <c r="P32" s="118">
        <f t="shared" si="38"/>
        <v>188</v>
      </c>
      <c r="Q32" s="118">
        <f t="shared" si="38"/>
        <v>115</v>
      </c>
      <c r="R32" s="173">
        <f t="shared" si="38"/>
        <v>103</v>
      </c>
      <c r="S32" s="126">
        <f t="shared" si="34"/>
        <v>0.06555227794165848</v>
      </c>
      <c r="T32" s="118">
        <f t="shared" si="25"/>
        <v>4</v>
      </c>
      <c r="U32" s="127">
        <f t="shared" si="35"/>
        <v>0.043701518627772315</v>
      </c>
      <c r="V32" s="128">
        <f t="shared" si="36"/>
        <v>1.834862385321101</v>
      </c>
      <c r="W32" s="118">
        <f t="shared" si="26"/>
        <v>2154</v>
      </c>
      <c r="X32" s="129">
        <f t="shared" si="37"/>
        <v>23.533267781055393</v>
      </c>
    </row>
    <row r="33" spans="1:24" ht="9.75" customHeight="1">
      <c r="A33" s="182"/>
      <c r="B33" s="202" t="s">
        <v>5</v>
      </c>
      <c r="C33" s="203"/>
      <c r="D33" s="118">
        <f t="shared" si="27"/>
        <v>137298</v>
      </c>
      <c r="E33" s="118">
        <f t="shared" si="27"/>
        <v>69350</v>
      </c>
      <c r="F33" s="119">
        <f t="shared" si="28"/>
        <v>50.51056825299713</v>
      </c>
      <c r="G33" s="172">
        <f t="shared" si="22"/>
        <v>16425</v>
      </c>
      <c r="H33" s="121">
        <f t="shared" si="29"/>
        <v>23.684210526315788</v>
      </c>
      <c r="I33" s="122">
        <f t="shared" si="23"/>
        <v>1011</v>
      </c>
      <c r="J33" s="123">
        <f t="shared" si="30"/>
        <v>6.155251141552511</v>
      </c>
      <c r="K33" s="124">
        <f t="shared" si="31"/>
        <v>623</v>
      </c>
      <c r="L33" s="123">
        <f t="shared" si="32"/>
        <v>61.62215628090999</v>
      </c>
      <c r="M33" s="118">
        <f aca="true" t="shared" si="39" ref="M33:R33">M9+M21</f>
        <v>193</v>
      </c>
      <c r="N33" s="118">
        <f t="shared" si="39"/>
        <v>22</v>
      </c>
      <c r="O33" s="118">
        <f t="shared" si="39"/>
        <v>4</v>
      </c>
      <c r="P33" s="118">
        <f t="shared" si="39"/>
        <v>404</v>
      </c>
      <c r="Q33" s="118">
        <f t="shared" si="39"/>
        <v>202</v>
      </c>
      <c r="R33" s="173">
        <f t="shared" si="39"/>
        <v>186</v>
      </c>
      <c r="S33" s="126">
        <f t="shared" si="34"/>
        <v>0.13394216133942163</v>
      </c>
      <c r="T33" s="118">
        <f t="shared" si="25"/>
        <v>16</v>
      </c>
      <c r="U33" s="127">
        <f t="shared" si="35"/>
        <v>0.0974124809741248</v>
      </c>
      <c r="V33" s="128">
        <f t="shared" si="36"/>
        <v>3.5313001605136436</v>
      </c>
      <c r="W33" s="118">
        <f t="shared" si="26"/>
        <v>3990</v>
      </c>
      <c r="X33" s="129">
        <f t="shared" si="37"/>
        <v>24.292237442922374</v>
      </c>
    </row>
    <row r="34" spans="1:24" ht="9.75" customHeight="1">
      <c r="A34" s="182"/>
      <c r="B34" s="202" t="s">
        <v>6</v>
      </c>
      <c r="C34" s="203"/>
      <c r="D34" s="118">
        <f t="shared" si="27"/>
        <v>117538</v>
      </c>
      <c r="E34" s="118">
        <f t="shared" si="27"/>
        <v>77239</v>
      </c>
      <c r="F34" s="119">
        <f t="shared" si="28"/>
        <v>65.71406694005343</v>
      </c>
      <c r="G34" s="172">
        <f t="shared" si="22"/>
        <v>22906</v>
      </c>
      <c r="H34" s="121">
        <f t="shared" si="29"/>
        <v>29.656002796514713</v>
      </c>
      <c r="I34" s="122">
        <f t="shared" si="23"/>
        <v>1534</v>
      </c>
      <c r="J34" s="123">
        <f t="shared" si="30"/>
        <v>6.696935300794552</v>
      </c>
      <c r="K34" s="124">
        <f t="shared" si="31"/>
        <v>989</v>
      </c>
      <c r="L34" s="123">
        <f t="shared" si="32"/>
        <v>64.47196870925684</v>
      </c>
      <c r="M34" s="118">
        <f aca="true" t="shared" si="40" ref="M34:R34">M10+M22</f>
        <v>297</v>
      </c>
      <c r="N34" s="118">
        <f t="shared" si="40"/>
        <v>27</v>
      </c>
      <c r="O34" s="118">
        <f t="shared" si="40"/>
        <v>4</v>
      </c>
      <c r="P34" s="118">
        <f t="shared" si="40"/>
        <v>661</v>
      </c>
      <c r="Q34" s="118">
        <f t="shared" si="40"/>
        <v>280</v>
      </c>
      <c r="R34" s="173">
        <f t="shared" si="40"/>
        <v>265</v>
      </c>
      <c r="S34" s="126">
        <f t="shared" si="34"/>
        <v>0.11787304636339824</v>
      </c>
      <c r="T34" s="118">
        <f t="shared" si="25"/>
        <v>17</v>
      </c>
      <c r="U34" s="127">
        <f t="shared" si="35"/>
        <v>0.0742163625251026</v>
      </c>
      <c r="V34" s="128">
        <f t="shared" si="36"/>
        <v>2.730030333670374</v>
      </c>
      <c r="W34" s="118">
        <f t="shared" si="26"/>
        <v>4333</v>
      </c>
      <c r="X34" s="129">
        <f t="shared" si="37"/>
        <v>18.9164411071335</v>
      </c>
    </row>
    <row r="35" spans="1:24" ht="9.75" customHeight="1">
      <c r="A35" s="182"/>
      <c r="B35" s="202" t="s">
        <v>7</v>
      </c>
      <c r="C35" s="203"/>
      <c r="D35" s="118">
        <f t="shared" si="27"/>
        <v>109411</v>
      </c>
      <c r="E35" s="118">
        <f t="shared" si="27"/>
        <v>91557</v>
      </c>
      <c r="F35" s="119">
        <f t="shared" si="28"/>
        <v>83.68171390445201</v>
      </c>
      <c r="G35" s="172">
        <f t="shared" si="22"/>
        <v>27188</v>
      </c>
      <c r="H35" s="121">
        <f t="shared" si="29"/>
        <v>29.69516257631858</v>
      </c>
      <c r="I35" s="122">
        <f t="shared" si="23"/>
        <v>2162</v>
      </c>
      <c r="J35" s="123">
        <f t="shared" si="30"/>
        <v>7.95203766367515</v>
      </c>
      <c r="K35" s="124">
        <f t="shared" si="31"/>
        <v>1357</v>
      </c>
      <c r="L35" s="123">
        <f t="shared" si="32"/>
        <v>62.76595744680851</v>
      </c>
      <c r="M35" s="118">
        <f aca="true" t="shared" si="41" ref="M35:R35">M11+M23</f>
        <v>398</v>
      </c>
      <c r="N35" s="118">
        <f t="shared" si="41"/>
        <v>44</v>
      </c>
      <c r="O35" s="118">
        <f t="shared" si="41"/>
        <v>4</v>
      </c>
      <c r="P35" s="118">
        <f t="shared" si="41"/>
        <v>911</v>
      </c>
      <c r="Q35" s="118">
        <f t="shared" si="41"/>
        <v>404</v>
      </c>
      <c r="R35" s="173">
        <f t="shared" si="41"/>
        <v>401</v>
      </c>
      <c r="S35" s="126">
        <f t="shared" si="34"/>
        <v>0.16183610416360159</v>
      </c>
      <c r="T35" s="118">
        <f t="shared" si="25"/>
        <v>25</v>
      </c>
      <c r="U35" s="127">
        <f t="shared" si="35"/>
        <v>0.09195233191113726</v>
      </c>
      <c r="V35" s="128">
        <f t="shared" si="36"/>
        <v>3.2424465733235075</v>
      </c>
      <c r="W35" s="118">
        <f t="shared" si="26"/>
        <v>3702</v>
      </c>
      <c r="X35" s="129">
        <f t="shared" si="37"/>
        <v>13.616301309401207</v>
      </c>
    </row>
    <row r="36" spans="1:24" ht="9.75" customHeight="1">
      <c r="A36" s="182"/>
      <c r="B36" s="202" t="s">
        <v>8</v>
      </c>
      <c r="C36" s="203"/>
      <c r="D36" s="118">
        <f t="shared" si="27"/>
        <v>97873</v>
      </c>
      <c r="E36" s="118">
        <f t="shared" si="27"/>
        <v>76095</v>
      </c>
      <c r="F36" s="119">
        <f t="shared" si="28"/>
        <v>77.7487151717021</v>
      </c>
      <c r="G36" s="172">
        <f t="shared" si="22"/>
        <v>23799</v>
      </c>
      <c r="H36" s="121">
        <f t="shared" si="29"/>
        <v>31.27537945988567</v>
      </c>
      <c r="I36" s="122">
        <f t="shared" si="23"/>
        <v>2034</v>
      </c>
      <c r="J36" s="123">
        <f t="shared" si="30"/>
        <v>8.546577587293584</v>
      </c>
      <c r="K36" s="124">
        <f t="shared" si="31"/>
        <v>1240</v>
      </c>
      <c r="L36" s="123">
        <f t="shared" si="32"/>
        <v>60.96361848574238</v>
      </c>
      <c r="M36" s="118">
        <f aca="true" t="shared" si="42" ref="M36:R36">M12+M24</f>
        <v>375</v>
      </c>
      <c r="N36" s="118">
        <f t="shared" si="42"/>
        <v>36</v>
      </c>
      <c r="O36" s="118">
        <f t="shared" si="42"/>
        <v>3</v>
      </c>
      <c r="P36" s="118">
        <f t="shared" si="42"/>
        <v>826</v>
      </c>
      <c r="Q36" s="118">
        <f t="shared" si="42"/>
        <v>401</v>
      </c>
      <c r="R36" s="173">
        <f t="shared" si="42"/>
        <v>393</v>
      </c>
      <c r="S36" s="126">
        <f t="shared" si="34"/>
        <v>0.15126685995209882</v>
      </c>
      <c r="T36" s="118">
        <f t="shared" si="25"/>
        <v>29</v>
      </c>
      <c r="U36" s="127">
        <f t="shared" si="35"/>
        <v>0.1218538594058574</v>
      </c>
      <c r="V36" s="128">
        <f t="shared" si="36"/>
        <v>2.903225806451613</v>
      </c>
      <c r="W36" s="118">
        <f t="shared" si="26"/>
        <v>2005</v>
      </c>
      <c r="X36" s="129">
        <f t="shared" si="37"/>
        <v>8.424723727887725</v>
      </c>
    </row>
    <row r="37" spans="1:24" ht="9.75" customHeight="1">
      <c r="A37" s="182"/>
      <c r="B37" s="206" t="s">
        <v>9</v>
      </c>
      <c r="C37" s="207"/>
      <c r="D37" s="118">
        <f t="shared" si="27"/>
        <v>132754</v>
      </c>
      <c r="E37" s="118">
        <f t="shared" si="27"/>
        <v>98308</v>
      </c>
      <c r="F37" s="151">
        <f t="shared" si="28"/>
        <v>74.05275923889299</v>
      </c>
      <c r="G37" s="172">
        <f t="shared" si="22"/>
        <v>18510</v>
      </c>
      <c r="H37" s="154">
        <f t="shared" si="29"/>
        <v>18.82857956626114</v>
      </c>
      <c r="I37" s="155">
        <f t="shared" si="23"/>
        <v>1873</v>
      </c>
      <c r="J37" s="156">
        <f t="shared" si="30"/>
        <v>10.118854673149649</v>
      </c>
      <c r="K37" s="158">
        <f t="shared" si="31"/>
        <v>927</v>
      </c>
      <c r="L37" s="156">
        <f t="shared" si="32"/>
        <v>49.492792311799256</v>
      </c>
      <c r="M37" s="118">
        <f aca="true" t="shared" si="43" ref="M37:R37">M13+M25</f>
        <v>328</v>
      </c>
      <c r="N37" s="118">
        <f t="shared" si="43"/>
        <v>37</v>
      </c>
      <c r="O37" s="118">
        <f t="shared" si="43"/>
        <v>3</v>
      </c>
      <c r="P37" s="118">
        <f t="shared" si="43"/>
        <v>559</v>
      </c>
      <c r="Q37" s="118">
        <f t="shared" si="43"/>
        <v>463</v>
      </c>
      <c r="R37" s="173">
        <f t="shared" si="43"/>
        <v>483</v>
      </c>
      <c r="S37" s="160">
        <f t="shared" si="34"/>
        <v>0.1998919502971367</v>
      </c>
      <c r="T37" s="118">
        <f t="shared" si="25"/>
        <v>18</v>
      </c>
      <c r="U37" s="164">
        <f t="shared" si="35"/>
        <v>0.0972447325769854</v>
      </c>
      <c r="V37" s="167">
        <f t="shared" si="36"/>
        <v>3.9913700107874863</v>
      </c>
      <c r="W37" s="118">
        <f t="shared" si="26"/>
        <v>1839</v>
      </c>
      <c r="X37" s="169">
        <f t="shared" si="37"/>
        <v>9.93517017828201</v>
      </c>
    </row>
    <row r="38" spans="1:24" ht="9.75" customHeight="1">
      <c r="A38" s="182"/>
      <c r="B38" s="208" t="s">
        <v>10</v>
      </c>
      <c r="C38" s="209"/>
      <c r="D38" s="60">
        <f>SUM(D29:D37)</f>
        <v>1088546</v>
      </c>
      <c r="E38" s="60">
        <f>SUM(E29:E37)</f>
        <v>541600</v>
      </c>
      <c r="F38" s="153">
        <f t="shared" si="28"/>
        <v>49.75444308279117</v>
      </c>
      <c r="G38" s="61">
        <f>SUM(G29:G37)</f>
        <v>129142</v>
      </c>
      <c r="H38" s="64">
        <f>G38/E38*100</f>
        <v>23.84453471196455</v>
      </c>
      <c r="I38" s="63">
        <f t="shared" si="23"/>
        <v>9785</v>
      </c>
      <c r="J38" s="64">
        <f t="shared" si="30"/>
        <v>7.576930820337304</v>
      </c>
      <c r="K38" s="63">
        <f t="shared" si="31"/>
        <v>5815</v>
      </c>
      <c r="L38" s="64">
        <f t="shared" si="32"/>
        <v>59.42769545222279</v>
      </c>
      <c r="M38" s="60">
        <f aca="true" t="shared" si="44" ref="M38:R38">SUM(M29:M37)</f>
        <v>1871</v>
      </c>
      <c r="N38" s="60">
        <f t="shared" si="44"/>
        <v>177</v>
      </c>
      <c r="O38" s="60">
        <f t="shared" si="44"/>
        <v>21</v>
      </c>
      <c r="P38" s="60">
        <f t="shared" si="44"/>
        <v>3746</v>
      </c>
      <c r="Q38" s="60">
        <f t="shared" si="44"/>
        <v>2002</v>
      </c>
      <c r="R38" s="65">
        <f t="shared" si="44"/>
        <v>1968</v>
      </c>
      <c r="S38" s="163">
        <f t="shared" si="34"/>
        <v>0.1370584318037509</v>
      </c>
      <c r="T38" s="60">
        <f>SUM(T29:T37)</f>
        <v>114</v>
      </c>
      <c r="U38" s="166">
        <f t="shared" si="35"/>
        <v>0.08827492217868703</v>
      </c>
      <c r="V38" s="152">
        <f t="shared" si="36"/>
        <v>3.0438521066208084</v>
      </c>
      <c r="W38" s="60">
        <f>SUM(W29:W37)</f>
        <v>21822</v>
      </c>
      <c r="X38" s="170">
        <f t="shared" si="37"/>
        <v>16.897678524414985</v>
      </c>
    </row>
    <row r="39" spans="1:24" ht="9.75" customHeight="1">
      <c r="A39" s="182"/>
      <c r="B39" s="91" t="s">
        <v>11</v>
      </c>
      <c r="C39" s="92" t="s">
        <v>12</v>
      </c>
      <c r="D39" s="87" t="s">
        <v>89</v>
      </c>
      <c r="E39" s="87" t="s">
        <v>89</v>
      </c>
      <c r="F39" s="89" t="s">
        <v>89</v>
      </c>
      <c r="G39" s="77">
        <f>G15+G27</f>
        <v>72873</v>
      </c>
      <c r="H39" s="89" t="s">
        <v>89</v>
      </c>
      <c r="I39" s="45">
        <f t="shared" si="23"/>
        <v>6177</v>
      </c>
      <c r="J39" s="157">
        <f t="shared" si="30"/>
        <v>8.476390432670536</v>
      </c>
      <c r="K39" s="159">
        <f>SUM(M39:P39)</f>
        <v>3169</v>
      </c>
      <c r="L39" s="157">
        <f t="shared" si="32"/>
        <v>51.30322162862231</v>
      </c>
      <c r="M39" s="77">
        <f aca="true" t="shared" si="45" ref="M39:R40">M15+M27</f>
        <v>1063</v>
      </c>
      <c r="N39" s="77">
        <f t="shared" si="45"/>
        <v>105</v>
      </c>
      <c r="O39" s="77">
        <f t="shared" si="45"/>
        <v>15</v>
      </c>
      <c r="P39" s="77">
        <f t="shared" si="45"/>
        <v>1986</v>
      </c>
      <c r="Q39" s="77">
        <f>Q15+Q27</f>
        <v>1725</v>
      </c>
      <c r="R39" s="134">
        <f t="shared" si="45"/>
        <v>1283</v>
      </c>
      <c r="S39" s="162">
        <f t="shared" si="34"/>
        <v>0.14408628710221894</v>
      </c>
      <c r="T39" s="77">
        <f>T15+T27</f>
        <v>75</v>
      </c>
      <c r="U39" s="165">
        <f>T39/G39*100</f>
        <v>0.10291877650158494</v>
      </c>
      <c r="V39" s="168">
        <f t="shared" si="36"/>
        <v>3.313348059324708</v>
      </c>
      <c r="W39" s="77">
        <f>W15+W27</f>
        <v>15012</v>
      </c>
      <c r="X39" s="175">
        <f t="shared" si="37"/>
        <v>20.600222304557246</v>
      </c>
    </row>
    <row r="40" spans="1:24" ht="9.75" customHeight="1" thickBot="1">
      <c r="A40" s="205"/>
      <c r="B40" s="93" t="s">
        <v>13</v>
      </c>
      <c r="C40" s="94" t="s">
        <v>14</v>
      </c>
      <c r="D40" s="88" t="s">
        <v>89</v>
      </c>
      <c r="E40" s="88" t="s">
        <v>89</v>
      </c>
      <c r="F40" s="90" t="s">
        <v>89</v>
      </c>
      <c r="G40" s="137">
        <f>G16+G28</f>
        <v>56269</v>
      </c>
      <c r="H40" s="90" t="s">
        <v>89</v>
      </c>
      <c r="I40" s="137">
        <f t="shared" si="23"/>
        <v>3608</v>
      </c>
      <c r="J40" s="138">
        <f t="shared" si="30"/>
        <v>6.412056372069879</v>
      </c>
      <c r="K40" s="137">
        <f t="shared" si="31"/>
        <v>2646</v>
      </c>
      <c r="L40" s="138">
        <f t="shared" si="32"/>
        <v>73.33702882483371</v>
      </c>
      <c r="M40" s="137">
        <f t="shared" si="45"/>
        <v>808</v>
      </c>
      <c r="N40" s="137">
        <f t="shared" si="45"/>
        <v>72</v>
      </c>
      <c r="O40" s="137">
        <f t="shared" si="45"/>
        <v>6</v>
      </c>
      <c r="P40" s="137">
        <f t="shared" si="45"/>
        <v>1760</v>
      </c>
      <c r="Q40" s="137">
        <f t="shared" si="45"/>
        <v>277</v>
      </c>
      <c r="R40" s="139">
        <f t="shared" si="45"/>
        <v>685</v>
      </c>
      <c r="S40" s="174">
        <f t="shared" si="34"/>
        <v>0.1279567790435231</v>
      </c>
      <c r="T40" s="137">
        <f>T16+T28</f>
        <v>39</v>
      </c>
      <c r="U40" s="141">
        <f t="shared" si="35"/>
        <v>0.06930992198190834</v>
      </c>
      <c r="V40" s="142">
        <f t="shared" si="36"/>
        <v>2.7210884353741496</v>
      </c>
      <c r="W40" s="137">
        <f>W16+W28</f>
        <v>6810</v>
      </c>
      <c r="X40" s="171">
        <f t="shared" si="37"/>
        <v>12.102578684533224</v>
      </c>
    </row>
  </sheetData>
  <mergeCells count="39">
    <mergeCell ref="B36:C36"/>
    <mergeCell ref="B37:C37"/>
    <mergeCell ref="B38:C38"/>
    <mergeCell ref="B32:C32"/>
    <mergeCell ref="B33:C33"/>
    <mergeCell ref="B34:C34"/>
    <mergeCell ref="B35:C35"/>
    <mergeCell ref="B26:C26"/>
    <mergeCell ref="B29:C29"/>
    <mergeCell ref="B30:C30"/>
    <mergeCell ref="B31:C31"/>
    <mergeCell ref="B22:C22"/>
    <mergeCell ref="B23:C23"/>
    <mergeCell ref="B24:C24"/>
    <mergeCell ref="B25:C25"/>
    <mergeCell ref="W2:X2"/>
    <mergeCell ref="G2:J2"/>
    <mergeCell ref="A29:A40"/>
    <mergeCell ref="A2:C4"/>
    <mergeCell ref="B5:C5"/>
    <mergeCell ref="B6:C6"/>
    <mergeCell ref="B7:C7"/>
    <mergeCell ref="B8:C8"/>
    <mergeCell ref="B9:C9"/>
    <mergeCell ref="B10:C10"/>
    <mergeCell ref="A5:A16"/>
    <mergeCell ref="A17:A28"/>
    <mergeCell ref="B11:C11"/>
    <mergeCell ref="B12:C12"/>
    <mergeCell ref="B13:C13"/>
    <mergeCell ref="B14:C14"/>
    <mergeCell ref="B17:C17"/>
    <mergeCell ref="B18:C18"/>
    <mergeCell ref="B19:C19"/>
    <mergeCell ref="B20:C20"/>
    <mergeCell ref="K2:L2"/>
    <mergeCell ref="M2:P2"/>
    <mergeCell ref="S2:U2"/>
    <mergeCell ref="B21:C21"/>
  </mergeCells>
  <printOptions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2009-11-26T07:27:44Z</cp:lastPrinted>
  <dcterms:created xsi:type="dcterms:W3CDTF">2008-10-20T01:03:15Z</dcterms:created>
  <dcterms:modified xsi:type="dcterms:W3CDTF">2010-01-07T04:44:55Z</dcterms:modified>
  <cp:category/>
  <cp:version/>
  <cp:contentType/>
  <cp:contentStatus/>
</cp:coreProperties>
</file>