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tabRatio="851" activeTab="0"/>
  </bookViews>
  <sheets>
    <sheet name="市町村・保健所・県計" sheetId="1" r:id="rId1"/>
    <sheet name="年齢階級別" sheetId="2" r:id="rId2"/>
  </sheets>
  <externalReferences>
    <externalReference r:id="rId5"/>
    <externalReference r:id="rId6"/>
  </externalReferences>
  <definedNames>
    <definedName name="_15.8.1男胃">#REF!</definedName>
    <definedName name="_15.8.2女胃">#REF!</definedName>
    <definedName name="_15.8.3男肺" localSheetId="0">'市町村・保健所・県計'!#REF!</definedName>
    <definedName name="_15.8.3男肺" localSheetId="1">'年齢階級別'!#REF!</definedName>
    <definedName name="_15.8.3男肺">'[1]保健所'!#REF!</definedName>
    <definedName name="_15.8.4女肺">#REF!</definedName>
    <definedName name="_15.8.5女子宮">'[2]子宮'!#REF!</definedName>
    <definedName name="_15.8.6女乳">'[2]乳'!#REF!</definedName>
    <definedName name="_xlnm.Print_Area" localSheetId="1">'年齢階級別'!$A$1:$X$67</definedName>
    <definedName name="_xlnm.Print_Titles" localSheetId="0">'市町村・保健所・県計'!$1:$4</definedName>
  </definedNames>
  <calcPr fullCalcOnLoad="1"/>
</workbook>
</file>

<file path=xl/sharedStrings.xml><?xml version="1.0" encoding="utf-8"?>
<sst xmlns="http://schemas.openxmlformats.org/spreadsheetml/2006/main" count="473" uniqueCount="113">
  <si>
    <t>初回受診者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</si>
  <si>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</si>
  <si>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</si>
  <si>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</si>
  <si>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</si>
  <si>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</si>
  <si>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</si>
  <si>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</si>
  <si>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</si>
  <si>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計</t>
  </si>
  <si>
    <t>検診方式</t>
  </si>
  <si>
    <t>個別</t>
  </si>
  <si>
    <t>（再掲）</t>
  </si>
  <si>
    <t>集団</t>
  </si>
  <si>
    <t>玉野市</t>
  </si>
  <si>
    <t>備前市</t>
  </si>
  <si>
    <t>和気町</t>
  </si>
  <si>
    <t>総社市</t>
  </si>
  <si>
    <t>早島町</t>
  </si>
  <si>
    <t>笠岡市</t>
  </si>
  <si>
    <t>浅口市</t>
  </si>
  <si>
    <t>里庄町</t>
  </si>
  <si>
    <t>矢掛町</t>
  </si>
  <si>
    <t>新見市</t>
  </si>
  <si>
    <t>新庄村</t>
  </si>
  <si>
    <t>津山市</t>
  </si>
  <si>
    <t>鏡野町</t>
  </si>
  <si>
    <t>久米南町</t>
  </si>
  <si>
    <t>美咲町</t>
  </si>
  <si>
    <t>勝央町</t>
  </si>
  <si>
    <t>奈義町</t>
  </si>
  <si>
    <t>西粟倉村</t>
  </si>
  <si>
    <t>岡山市保健所</t>
  </si>
  <si>
    <t>東備保健所</t>
  </si>
  <si>
    <t>岡山保健所</t>
  </si>
  <si>
    <t>倉敷保健所</t>
  </si>
  <si>
    <t>井笠保健所</t>
  </si>
  <si>
    <t>高梁保健所</t>
  </si>
  <si>
    <t>新見保健所</t>
  </si>
  <si>
    <t>真庭保健所</t>
  </si>
  <si>
    <t>津山保健所</t>
  </si>
  <si>
    <t>勝英保健所</t>
  </si>
  <si>
    <t>岡山県</t>
  </si>
  <si>
    <t>倉敷市保健所</t>
  </si>
  <si>
    <t>受診者の状況</t>
  </si>
  <si>
    <t>精密検診</t>
  </si>
  <si>
    <t>精密検診結果別人員</t>
  </si>
  <si>
    <t>対象者数
（人）</t>
  </si>
  <si>
    <t>対象者率
（％）</t>
  </si>
  <si>
    <t>受診者数
（人）</t>
  </si>
  <si>
    <t>受診率
（％）</t>
  </si>
  <si>
    <t>要精検者
数（人）</t>
  </si>
  <si>
    <t>要精検率
（％）</t>
  </si>
  <si>
    <t>異常
認めず
（人）</t>
  </si>
  <si>
    <t>がんで
あった者
（人）</t>
  </si>
  <si>
    <t>がんの疑
いのある
者（人）</t>
  </si>
  <si>
    <t>がん以外の
疾患であっ
た者（人）</t>
  </si>
  <si>
    <t>未把握
（人）</t>
  </si>
  <si>
    <t>未受診者
（人）</t>
  </si>
  <si>
    <t>がん
発見率
（％）</t>
  </si>
  <si>
    <t>陽性反応
的中度
（％）</t>
  </si>
  <si>
    <t>初回
受診者
（人）</t>
  </si>
  <si>
    <t>同左の
割合
（％）</t>
  </si>
  <si>
    <t>A</t>
  </si>
  <si>
    <t>B</t>
  </si>
  <si>
    <t>B/A</t>
  </si>
  <si>
    <t>C</t>
  </si>
  <si>
    <t>C/B</t>
  </si>
  <si>
    <t>D</t>
  </si>
  <si>
    <t>D/C</t>
  </si>
  <si>
    <t>E</t>
  </si>
  <si>
    <t>E/D</t>
  </si>
  <si>
    <t>F</t>
  </si>
  <si>
    <t>F/C</t>
  </si>
  <si>
    <t>F/E</t>
  </si>
  <si>
    <t>計</t>
  </si>
  <si>
    <t>40～44歳</t>
  </si>
  <si>
    <t>胸部エックス線検査のみ（男）</t>
  </si>
  <si>
    <t>胸部エックス線検査のみ（女）</t>
  </si>
  <si>
    <t>－</t>
  </si>
  <si>
    <t>－</t>
  </si>
  <si>
    <t>40～44歳</t>
  </si>
  <si>
    <t>－</t>
  </si>
  <si>
    <t>対象年齢
人口</t>
  </si>
  <si>
    <t>岡山市
（本庁）</t>
  </si>
  <si>
    <t>岡山市
（御津）</t>
  </si>
  <si>
    <t>岡山市
（建部）</t>
  </si>
  <si>
    <t>倉敷市</t>
  </si>
  <si>
    <t>瀬戸内市</t>
  </si>
  <si>
    <t>吉備中央町</t>
  </si>
  <si>
    <t>赤磐市</t>
  </si>
  <si>
    <t>井原市</t>
  </si>
  <si>
    <t>高梁市</t>
  </si>
  <si>
    <t>真庭市</t>
  </si>
  <si>
    <t>美作市</t>
  </si>
  <si>
    <t>平成２０年度　肺がん検診（胸部Ｘ線検査、喀痰細胞（喀痰細胞診のみ受診は除く）</t>
  </si>
  <si>
    <t>Ｘ線（男）</t>
  </si>
  <si>
    <t>Ｘ線（女）</t>
  </si>
  <si>
    <t>喀痰細胞診（女）</t>
  </si>
  <si>
    <t>喀痰細胞診（男）</t>
  </si>
  <si>
    <t>早期がん発見患者数（人）</t>
  </si>
  <si>
    <t>G</t>
  </si>
  <si>
    <t>早期がん発見率（％）</t>
  </si>
  <si>
    <t>G/C</t>
  </si>
  <si>
    <t>H</t>
  </si>
  <si>
    <t>H/C</t>
  </si>
  <si>
    <t>がん発見</t>
  </si>
  <si>
    <t>H</t>
  </si>
  <si>
    <t>H/C</t>
  </si>
  <si>
    <t>平成２０年度　肺がん検診（胸部Ｘ線検査、喀痰細胞診検査…喀痰細胞診のみ受診は除く）（年齢階級別）</t>
  </si>
  <si>
    <t>※計は、胸部X線検査の数値から計算。</t>
  </si>
  <si>
    <t>計（Ｘ線）</t>
  </si>
  <si>
    <t>計（喀痰細胞診）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</si>
</sst>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0000"/>
    <numFmt numFmtId="178" formatCode="yy/mm/dd"/>
    <numFmt numFmtId="179" formatCode="#,##0_);[Red]\(#,##0\)"/>
    <numFmt numFmtId="180" formatCode="0_ "/>
    <numFmt numFmtId="181" formatCode="#,##0_ "/>
    <numFmt numFmtId="182" formatCode="0.0_);[Red]\(0.0\)"/>
    <numFmt numFmtId="183" formatCode="0.000_);[Red]\(0.000\)"/>
    <numFmt numFmtId="184" formatCode="0_);[Red]\(0\)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7"/>
      <name val="ＭＳ Ｐゴシック"/>
      <family val="3"/>
    </font>
    <font>
      <sz val="7"/>
      <name val="ＭＳ Ｐゴシック"/>
      <family val="3"/>
    </font>
    <font>
      <b/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8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double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 style="dotted"/>
      <bottom style="thin"/>
    </border>
    <border>
      <left style="double"/>
      <right style="thin"/>
      <top style="thin"/>
      <bottom style="dotted"/>
    </border>
    <border>
      <left style="double"/>
      <right style="thin"/>
      <top style="medium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medium"/>
    </border>
    <border>
      <left style="double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double"/>
      <top style="dotted"/>
      <bottom style="medium"/>
    </border>
    <border>
      <left style="thin"/>
      <right>
        <color indexed="63"/>
      </right>
      <top style="thin"/>
      <bottom style="dotted"/>
    </border>
    <border>
      <left style="thin"/>
      <right style="double"/>
      <top style="thin"/>
      <bottom style="dotted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double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double"/>
      <top>
        <color indexed="63"/>
      </top>
      <bottom style="dotted"/>
    </border>
    <border>
      <left style="thin"/>
      <right style="double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double"/>
      <top style="dotted"/>
      <bottom style="thin"/>
    </border>
    <border>
      <left style="double"/>
      <right>
        <color indexed="63"/>
      </right>
      <top style="medium"/>
      <bottom style="dotted"/>
    </border>
    <border>
      <left style="double"/>
      <right>
        <color indexed="63"/>
      </right>
      <top style="dotted"/>
      <bottom style="dotted"/>
    </border>
    <border>
      <left style="double"/>
      <right>
        <color indexed="63"/>
      </right>
      <top style="dotted"/>
      <bottom style="medium"/>
    </border>
    <border>
      <left style="double"/>
      <right>
        <color indexed="63"/>
      </right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medium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dotted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double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thin"/>
      <right style="medium"/>
      <top style="dotted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179" fontId="7" fillId="0" borderId="0" xfId="0" applyNumberFormat="1" applyFont="1" applyFill="1" applyAlignment="1" quotePrefix="1">
      <alignment horizontal="left" vertical="center"/>
    </xf>
    <xf numFmtId="179" fontId="8" fillId="0" borderId="0" xfId="0" applyNumberFormat="1" applyFont="1" applyFill="1" applyAlignment="1">
      <alignment vertical="center"/>
    </xf>
    <xf numFmtId="182" fontId="8" fillId="0" borderId="0" xfId="0" applyNumberFormat="1" applyFont="1" applyFill="1" applyAlignment="1">
      <alignment vertical="center"/>
    </xf>
    <xf numFmtId="183" fontId="8" fillId="0" borderId="0" xfId="0" applyNumberFormat="1" applyFont="1" applyFill="1" applyAlignment="1">
      <alignment vertical="center"/>
    </xf>
    <xf numFmtId="181" fontId="8" fillId="0" borderId="1" xfId="0" applyNumberFormat="1" applyFont="1" applyFill="1" applyBorder="1" applyAlignment="1">
      <alignment horizontal="center" vertical="center" wrapText="1"/>
    </xf>
    <xf numFmtId="182" fontId="8" fillId="0" borderId="2" xfId="0" applyNumberFormat="1" applyFont="1" applyFill="1" applyBorder="1" applyAlignment="1">
      <alignment horizontal="center" vertical="center"/>
    </xf>
    <xf numFmtId="179" fontId="8" fillId="0" borderId="2" xfId="0" applyNumberFormat="1" applyFont="1" applyFill="1" applyBorder="1" applyAlignment="1">
      <alignment horizontal="center" vertical="center" wrapText="1"/>
    </xf>
    <xf numFmtId="179" fontId="8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81" fontId="8" fillId="0" borderId="4" xfId="0" applyNumberFormat="1" applyFont="1" applyFill="1" applyBorder="1" applyAlignment="1">
      <alignment horizontal="center" vertical="center" wrapText="1"/>
    </xf>
    <xf numFmtId="182" fontId="8" fillId="0" borderId="5" xfId="0" applyNumberFormat="1" applyFont="1" applyFill="1" applyBorder="1" applyAlignment="1">
      <alignment horizontal="center" vertical="center" wrapText="1"/>
    </xf>
    <xf numFmtId="181" fontId="8" fillId="0" borderId="6" xfId="0" applyNumberFormat="1" applyFont="1" applyFill="1" applyBorder="1" applyAlignment="1">
      <alignment horizontal="center" vertical="center" wrapText="1"/>
    </xf>
    <xf numFmtId="179" fontId="8" fillId="0" borderId="5" xfId="0" applyNumberFormat="1" applyFont="1" applyFill="1" applyBorder="1" applyAlignment="1">
      <alignment horizontal="center" vertical="center" wrapText="1"/>
    </xf>
    <xf numFmtId="182" fontId="8" fillId="0" borderId="4" xfId="0" applyNumberFormat="1" applyFont="1" applyFill="1" applyBorder="1" applyAlignment="1">
      <alignment horizontal="center" vertical="center" wrapText="1"/>
    </xf>
    <xf numFmtId="179" fontId="8" fillId="0" borderId="4" xfId="0" applyNumberFormat="1" applyFont="1" applyFill="1" applyBorder="1" applyAlignment="1">
      <alignment horizontal="center" vertical="center" wrapText="1"/>
    </xf>
    <xf numFmtId="179" fontId="8" fillId="0" borderId="7" xfId="0" applyNumberFormat="1" applyFont="1" applyFill="1" applyBorder="1" applyAlignment="1">
      <alignment horizontal="center" vertical="center" wrapText="1"/>
    </xf>
    <xf numFmtId="183" fontId="8" fillId="0" borderId="0" xfId="0" applyNumberFormat="1" applyFont="1" applyFill="1" applyBorder="1" applyAlignment="1">
      <alignment horizontal="center" vertical="center" wrapText="1"/>
    </xf>
    <xf numFmtId="179" fontId="8" fillId="0" borderId="0" xfId="0" applyNumberFormat="1" applyFont="1" applyFill="1" applyBorder="1" applyAlignment="1">
      <alignment horizontal="center" vertical="center" wrapText="1"/>
    </xf>
    <xf numFmtId="182" fontId="8" fillId="0" borderId="8" xfId="0" applyNumberFormat="1" applyFont="1" applyFill="1" applyBorder="1" applyAlignment="1">
      <alignment horizontal="center" vertical="center" wrapText="1"/>
    </xf>
    <xf numFmtId="179" fontId="8" fillId="2" borderId="9" xfId="0" applyNumberFormat="1" applyFont="1" applyFill="1" applyBorder="1" applyAlignment="1" applyProtection="1">
      <alignment vertical="center"/>
      <protection/>
    </xf>
    <xf numFmtId="182" fontId="8" fillId="2" borderId="9" xfId="0" applyNumberFormat="1" applyFont="1" applyFill="1" applyBorder="1" applyAlignment="1" applyProtection="1">
      <alignment vertical="center"/>
      <protection/>
    </xf>
    <xf numFmtId="182" fontId="8" fillId="2" borderId="9" xfId="0" applyNumberFormat="1" applyFont="1" applyFill="1" applyBorder="1" applyAlignment="1" applyProtection="1">
      <alignment vertical="center"/>
      <protection locked="0"/>
    </xf>
    <xf numFmtId="179" fontId="8" fillId="2" borderId="10" xfId="0" applyNumberFormat="1" applyFont="1" applyFill="1" applyBorder="1" applyAlignment="1" applyProtection="1">
      <alignment vertical="center"/>
      <protection/>
    </xf>
    <xf numFmtId="183" fontId="8" fillId="2" borderId="11" xfId="0" applyNumberFormat="1" applyFont="1" applyFill="1" applyBorder="1" applyAlignment="1" applyProtection="1">
      <alignment vertical="center"/>
      <protection/>
    </xf>
    <xf numFmtId="182" fontId="8" fillId="2" borderId="12" xfId="0" applyNumberFormat="1" applyFont="1" applyFill="1" applyBorder="1" applyAlignment="1" applyProtection="1">
      <alignment vertical="center"/>
      <protection/>
    </xf>
    <xf numFmtId="179" fontId="8" fillId="0" borderId="9" xfId="0" applyNumberFormat="1" applyFont="1" applyFill="1" applyBorder="1" applyAlignment="1" applyProtection="1">
      <alignment vertical="center"/>
      <protection/>
    </xf>
    <xf numFmtId="182" fontId="8" fillId="0" borderId="9" xfId="0" applyNumberFormat="1" applyFont="1" applyFill="1" applyBorder="1" applyAlignment="1" applyProtection="1">
      <alignment vertical="center"/>
      <protection/>
    </xf>
    <xf numFmtId="179" fontId="8" fillId="0" borderId="9" xfId="0" applyNumberFormat="1" applyFont="1" applyFill="1" applyBorder="1" applyAlignment="1" applyProtection="1">
      <alignment vertical="center"/>
      <protection locked="0"/>
    </xf>
    <xf numFmtId="182" fontId="8" fillId="0" borderId="9" xfId="0" applyNumberFormat="1" applyFont="1" applyFill="1" applyBorder="1" applyAlignment="1" applyProtection="1">
      <alignment vertical="center"/>
      <protection locked="0"/>
    </xf>
    <xf numFmtId="179" fontId="8" fillId="0" borderId="10" xfId="0" applyNumberFormat="1" applyFont="1" applyFill="1" applyBorder="1" applyAlignment="1" applyProtection="1">
      <alignment vertical="center"/>
      <protection/>
    </xf>
    <xf numFmtId="183" fontId="8" fillId="0" borderId="11" xfId="0" applyNumberFormat="1" applyFont="1" applyFill="1" applyBorder="1" applyAlignment="1" applyProtection="1">
      <alignment vertical="center"/>
      <protection/>
    </xf>
    <xf numFmtId="182" fontId="8" fillId="0" borderId="12" xfId="0" applyNumberFormat="1" applyFont="1" applyFill="1" applyBorder="1" applyAlignment="1" applyProtection="1">
      <alignment vertical="center"/>
      <protection/>
    </xf>
    <xf numFmtId="179" fontId="8" fillId="0" borderId="13" xfId="0" applyNumberFormat="1" applyFont="1" applyFill="1" applyBorder="1" applyAlignment="1" applyProtection="1">
      <alignment vertical="center"/>
      <protection/>
    </xf>
    <xf numFmtId="182" fontId="8" fillId="0" borderId="14" xfId="0" applyNumberFormat="1" applyFont="1" applyFill="1" applyBorder="1" applyAlignment="1" applyProtection="1">
      <alignment vertical="center"/>
      <protection/>
    </xf>
    <xf numFmtId="179" fontId="8" fillId="0" borderId="15" xfId="0" applyNumberFormat="1" applyFont="1" applyFill="1" applyBorder="1" applyAlignment="1" applyProtection="1">
      <alignment vertical="center"/>
      <protection/>
    </xf>
    <xf numFmtId="182" fontId="8" fillId="0" borderId="13" xfId="0" applyNumberFormat="1" applyFont="1" applyFill="1" applyBorder="1" applyAlignment="1" applyProtection="1">
      <alignment vertical="center"/>
      <protection locked="0"/>
    </xf>
    <xf numFmtId="179" fontId="8" fillId="0" borderId="16" xfId="0" applyNumberFormat="1" applyFont="1" applyFill="1" applyBorder="1" applyAlignment="1" applyProtection="1">
      <alignment vertical="center"/>
      <protection/>
    </xf>
    <xf numFmtId="179" fontId="8" fillId="0" borderId="17" xfId="0" applyNumberFormat="1" applyFont="1" applyFill="1" applyBorder="1" applyAlignment="1" applyProtection="1">
      <alignment vertical="center"/>
      <protection locked="0"/>
    </xf>
    <xf numFmtId="179" fontId="8" fillId="0" borderId="13" xfId="0" applyNumberFormat="1" applyFont="1" applyFill="1" applyBorder="1" applyAlignment="1" applyProtection="1">
      <alignment vertical="center"/>
      <protection locked="0"/>
    </xf>
    <xf numFmtId="179" fontId="9" fillId="0" borderId="0" xfId="0" applyNumberFormat="1" applyFont="1" applyFill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82" fontId="8" fillId="0" borderId="19" xfId="0" applyNumberFormat="1" applyFont="1" applyFill="1" applyBorder="1" applyAlignment="1">
      <alignment horizontal="center" vertical="center"/>
    </xf>
    <xf numFmtId="179" fontId="8" fillId="0" borderId="19" xfId="0" applyNumberFormat="1" applyFont="1" applyFill="1" applyBorder="1" applyAlignment="1">
      <alignment horizontal="center" vertical="center" wrapText="1"/>
    </xf>
    <xf numFmtId="182" fontId="8" fillId="0" borderId="20" xfId="0" applyNumberFormat="1" applyFont="1" applyFill="1" applyBorder="1" applyAlignment="1">
      <alignment horizontal="center" vertical="center" wrapText="1"/>
    </xf>
    <xf numFmtId="179" fontId="8" fillId="0" borderId="21" xfId="0" applyNumberFormat="1" applyFont="1" applyFill="1" applyBorder="1" applyAlignment="1" applyProtection="1">
      <alignment vertical="center"/>
      <protection locked="0"/>
    </xf>
    <xf numFmtId="179" fontId="8" fillId="0" borderId="22" xfId="0" applyNumberFormat="1" applyFont="1" applyFill="1" applyBorder="1" applyAlignment="1" applyProtection="1">
      <alignment vertical="center"/>
      <protection locked="0"/>
    </xf>
    <xf numFmtId="179" fontId="8" fillId="0" borderId="23" xfId="0" applyNumberFormat="1" applyFont="1" applyFill="1" applyBorder="1" applyAlignment="1" applyProtection="1">
      <alignment vertical="center"/>
      <protection locked="0"/>
    </xf>
    <xf numFmtId="179" fontId="8" fillId="0" borderId="24" xfId="0" applyNumberFormat="1" applyFont="1" applyFill="1" applyBorder="1" applyAlignment="1" applyProtection="1">
      <alignment vertical="center"/>
      <protection locked="0"/>
    </xf>
    <xf numFmtId="182" fontId="8" fillId="0" borderId="1" xfId="0" applyNumberFormat="1" applyFont="1" applyFill="1" applyBorder="1" applyAlignment="1">
      <alignment horizontal="center" vertical="center" wrapText="1"/>
    </xf>
    <xf numFmtId="179" fontId="8" fillId="0" borderId="25" xfId="0" applyNumberFormat="1" applyFont="1" applyFill="1" applyBorder="1" applyAlignment="1" applyProtection="1">
      <alignment vertical="center"/>
      <protection locked="0"/>
    </xf>
    <xf numFmtId="179" fontId="8" fillId="0" borderId="26" xfId="0" applyNumberFormat="1" applyFont="1" applyFill="1" applyBorder="1" applyAlignment="1" applyProtection="1">
      <alignment vertical="center"/>
      <protection locked="0"/>
    </xf>
    <xf numFmtId="179" fontId="8" fillId="0" borderId="27" xfId="0" applyNumberFormat="1" applyFont="1" applyFill="1" applyBorder="1" applyAlignment="1" applyProtection="1">
      <alignment vertical="center"/>
      <protection locked="0"/>
    </xf>
    <xf numFmtId="183" fontId="8" fillId="0" borderId="28" xfId="0" applyNumberFormat="1" applyFont="1" applyFill="1" applyBorder="1" applyAlignment="1">
      <alignment horizontal="center" vertical="center" wrapText="1"/>
    </xf>
    <xf numFmtId="182" fontId="8" fillId="0" borderId="26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179" fontId="8" fillId="0" borderId="0" xfId="0" applyNumberFormat="1" applyFont="1" applyFill="1" applyAlignment="1">
      <alignment horizontal="center" vertical="center"/>
    </xf>
    <xf numFmtId="179" fontId="8" fillId="0" borderId="29" xfId="0" applyNumberFormat="1" applyFont="1" applyFill="1" applyBorder="1" applyAlignment="1">
      <alignment horizontal="centerContinuous" vertical="center" wrapText="1"/>
    </xf>
    <xf numFmtId="179" fontId="8" fillId="0" borderId="30" xfId="0" applyNumberFormat="1" applyFont="1" applyFill="1" applyBorder="1" applyAlignment="1">
      <alignment horizontal="centerContinuous" vertical="center" wrapText="1"/>
    </xf>
    <xf numFmtId="179" fontId="8" fillId="0" borderId="3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182" fontId="8" fillId="0" borderId="35" xfId="0" applyNumberFormat="1" applyFont="1" applyFill="1" applyBorder="1" applyAlignment="1">
      <alignment horizontal="center" vertical="center" wrapText="1"/>
    </xf>
    <xf numFmtId="182" fontId="8" fillId="0" borderId="36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179" fontId="8" fillId="0" borderId="37" xfId="0" applyNumberFormat="1" applyFont="1" applyFill="1" applyBorder="1" applyAlignment="1">
      <alignment horizontal="centerContinuous" vertical="center" wrapText="1"/>
    </xf>
    <xf numFmtId="179" fontId="8" fillId="0" borderId="38" xfId="0" applyNumberFormat="1" applyFont="1" applyFill="1" applyBorder="1" applyAlignment="1">
      <alignment horizontal="centerContinuous" vertical="center" wrapText="1"/>
    </xf>
    <xf numFmtId="179" fontId="8" fillId="0" borderId="27" xfId="0" applyNumberFormat="1" applyFont="1" applyFill="1" applyBorder="1" applyAlignment="1">
      <alignment vertical="center"/>
    </xf>
    <xf numFmtId="179" fontId="8" fillId="0" borderId="39" xfId="0" applyNumberFormat="1" applyFont="1" applyFill="1" applyBorder="1" applyAlignment="1">
      <alignment horizontal="centerContinuous" vertical="center" wrapText="1"/>
    </xf>
    <xf numFmtId="179" fontId="8" fillId="0" borderId="40" xfId="0" applyNumberFormat="1" applyFont="1" applyFill="1" applyBorder="1" applyAlignment="1">
      <alignment horizontal="centerContinuous" vertical="center" wrapText="1"/>
    </xf>
    <xf numFmtId="179" fontId="8" fillId="0" borderId="9" xfId="0" applyNumberFormat="1" applyFont="1" applyFill="1" applyBorder="1" applyAlignment="1">
      <alignment vertical="center"/>
    </xf>
    <xf numFmtId="179" fontId="8" fillId="0" borderId="41" xfId="0" applyNumberFormat="1" applyFont="1" applyFill="1" applyBorder="1" applyAlignment="1" applyProtection="1">
      <alignment vertical="center"/>
      <protection locked="0"/>
    </xf>
    <xf numFmtId="179" fontId="8" fillId="0" borderId="42" xfId="0" applyNumberFormat="1" applyFont="1" applyFill="1" applyBorder="1" applyAlignment="1">
      <alignment horizontal="centerContinuous" vertical="center" wrapText="1"/>
    </xf>
    <xf numFmtId="179" fontId="8" fillId="0" borderId="43" xfId="0" applyNumberFormat="1" applyFont="1" applyFill="1" applyBorder="1" applyAlignment="1">
      <alignment horizontal="centerContinuous" vertical="center" wrapText="1"/>
    </xf>
    <xf numFmtId="179" fontId="8" fillId="0" borderId="25" xfId="0" applyNumberFormat="1" applyFont="1" applyFill="1" applyBorder="1" applyAlignment="1">
      <alignment vertical="center"/>
    </xf>
    <xf numFmtId="179" fontId="8" fillId="0" borderId="44" xfId="0" applyNumberFormat="1" applyFont="1" applyFill="1" applyBorder="1" applyAlignment="1">
      <alignment horizontal="center" vertical="center" wrapText="1"/>
    </xf>
    <xf numFmtId="179" fontId="8" fillId="0" borderId="45" xfId="0" applyNumberFormat="1" applyFont="1" applyFill="1" applyBorder="1" applyAlignment="1" applyProtection="1">
      <alignment vertical="center"/>
      <protection locked="0"/>
    </xf>
    <xf numFmtId="179" fontId="8" fillId="0" borderId="46" xfId="0" applyNumberFormat="1" applyFont="1" applyFill="1" applyBorder="1" applyAlignment="1" applyProtection="1">
      <alignment vertical="center"/>
      <protection locked="0"/>
    </xf>
    <xf numFmtId="179" fontId="8" fillId="0" borderId="47" xfId="0" applyNumberFormat="1" applyFont="1" applyFill="1" applyBorder="1" applyAlignment="1" applyProtection="1">
      <alignment vertical="center"/>
      <protection locked="0"/>
    </xf>
    <xf numFmtId="179" fontId="8" fillId="0" borderId="48" xfId="0" applyNumberFormat="1" applyFont="1" applyFill="1" applyBorder="1" applyAlignment="1">
      <alignment horizontal="center" vertical="center" wrapText="1"/>
    </xf>
    <xf numFmtId="179" fontId="8" fillId="0" borderId="49" xfId="0" applyNumberFormat="1" applyFont="1" applyFill="1" applyBorder="1" applyAlignment="1" applyProtection="1">
      <alignment vertical="center"/>
      <protection locked="0"/>
    </xf>
    <xf numFmtId="182" fontId="8" fillId="0" borderId="37" xfId="0" applyNumberFormat="1" applyFont="1" applyFill="1" applyBorder="1" applyAlignment="1">
      <alignment vertical="center"/>
    </xf>
    <xf numFmtId="182" fontId="8" fillId="0" borderId="39" xfId="0" applyNumberFormat="1" applyFont="1" applyFill="1" applyBorder="1" applyAlignment="1">
      <alignment vertical="center"/>
    </xf>
    <xf numFmtId="182" fontId="8" fillId="0" borderId="27" xfId="0" applyNumberFormat="1" applyFont="1" applyFill="1" applyBorder="1" applyAlignment="1" applyProtection="1">
      <alignment vertical="center"/>
      <protection locked="0"/>
    </xf>
    <xf numFmtId="182" fontId="8" fillId="0" borderId="46" xfId="0" applyNumberFormat="1" applyFont="1" applyFill="1" applyBorder="1" applyAlignment="1" applyProtection="1">
      <alignment vertical="center"/>
      <protection locked="0"/>
    </xf>
    <xf numFmtId="179" fontId="8" fillId="0" borderId="17" xfId="0" applyNumberFormat="1" applyFont="1" applyFill="1" applyBorder="1" applyAlignment="1">
      <alignment horizontal="center" vertical="center"/>
    </xf>
    <xf numFmtId="179" fontId="8" fillId="0" borderId="46" xfId="0" applyNumberFormat="1" applyFont="1" applyFill="1" applyBorder="1" applyAlignment="1">
      <alignment horizontal="center" vertical="center"/>
    </xf>
    <xf numFmtId="182" fontId="8" fillId="0" borderId="47" xfId="0" applyNumberFormat="1" applyFont="1" applyFill="1" applyBorder="1" applyAlignment="1">
      <alignment horizontal="center" vertical="center"/>
    </xf>
    <xf numFmtId="181" fontId="8" fillId="0" borderId="20" xfId="0" applyNumberFormat="1" applyFont="1" applyFill="1" applyBorder="1" applyAlignment="1">
      <alignment horizontal="center" vertical="center"/>
    </xf>
    <xf numFmtId="181" fontId="8" fillId="0" borderId="50" xfId="0" applyNumberFormat="1" applyFont="1" applyFill="1" applyBorder="1" applyAlignment="1">
      <alignment horizontal="center" vertical="center" wrapText="1"/>
    </xf>
    <xf numFmtId="182" fontId="8" fillId="0" borderId="19" xfId="0" applyNumberFormat="1" applyFont="1" applyFill="1" applyBorder="1" applyAlignment="1">
      <alignment horizontal="center" vertical="center" wrapText="1"/>
    </xf>
    <xf numFmtId="179" fontId="8" fillId="0" borderId="34" xfId="0" applyNumberFormat="1" applyFont="1" applyFill="1" applyBorder="1" applyAlignment="1">
      <alignment horizontal="center" vertical="center" wrapText="1"/>
    </xf>
    <xf numFmtId="183" fontId="8" fillId="0" borderId="51" xfId="0" applyNumberFormat="1" applyFont="1" applyFill="1" applyBorder="1" applyAlignment="1">
      <alignment horizontal="center" vertical="center" wrapText="1"/>
    </xf>
    <xf numFmtId="179" fontId="8" fillId="0" borderId="51" xfId="0" applyNumberFormat="1" applyFont="1" applyFill="1" applyBorder="1" applyAlignment="1">
      <alignment horizontal="center" vertical="center"/>
    </xf>
    <xf numFmtId="182" fontId="8" fillId="0" borderId="52" xfId="0" applyNumberFormat="1" applyFont="1" applyFill="1" applyBorder="1" applyAlignment="1">
      <alignment horizontal="center" vertical="center" wrapText="1"/>
    </xf>
    <xf numFmtId="182" fontId="8" fillId="0" borderId="53" xfId="0" applyNumberFormat="1" applyFont="1" applyFill="1" applyBorder="1" applyAlignment="1" applyProtection="1">
      <alignment vertical="center"/>
      <protection/>
    </xf>
    <xf numFmtId="179" fontId="8" fillId="0" borderId="53" xfId="0" applyNumberFormat="1" applyFont="1" applyFill="1" applyBorder="1" applyAlignment="1" applyProtection="1">
      <alignment vertical="center"/>
      <protection/>
    </xf>
    <xf numFmtId="182" fontId="8" fillId="0" borderId="53" xfId="0" applyNumberFormat="1" applyFont="1" applyFill="1" applyBorder="1" applyAlignment="1" applyProtection="1">
      <alignment vertical="center"/>
      <protection locked="0"/>
    </xf>
    <xf numFmtId="179" fontId="8" fillId="0" borderId="11" xfId="0" applyNumberFormat="1" applyFont="1" applyFill="1" applyBorder="1" applyAlignment="1" applyProtection="1">
      <alignment vertical="center"/>
      <protection/>
    </xf>
    <xf numFmtId="179" fontId="8" fillId="0" borderId="54" xfId="0" applyNumberFormat="1" applyFont="1" applyFill="1" applyBorder="1" applyAlignment="1" applyProtection="1">
      <alignment vertical="center"/>
      <protection/>
    </xf>
    <xf numFmtId="179" fontId="8" fillId="0" borderId="55" xfId="0" applyNumberFormat="1" applyFont="1" applyFill="1" applyBorder="1" applyAlignment="1" applyProtection="1">
      <alignment vertical="center"/>
      <protection/>
    </xf>
    <xf numFmtId="182" fontId="8" fillId="0" borderId="16" xfId="0" applyNumberFormat="1" applyFont="1" applyFill="1" applyBorder="1" applyAlignment="1" applyProtection="1">
      <alignment vertical="center"/>
      <protection/>
    </xf>
    <xf numFmtId="179" fontId="8" fillId="0" borderId="56" xfId="0" applyNumberFormat="1" applyFont="1" applyFill="1" applyBorder="1" applyAlignment="1" applyProtection="1">
      <alignment vertical="center"/>
      <protection/>
    </xf>
    <xf numFmtId="183" fontId="8" fillId="0" borderId="57" xfId="0" applyNumberFormat="1" applyFont="1" applyFill="1" applyBorder="1" applyAlignment="1" applyProtection="1">
      <alignment vertical="center"/>
      <protection/>
    </xf>
    <xf numFmtId="182" fontId="8" fillId="0" borderId="56" xfId="0" applyNumberFormat="1" applyFont="1" applyFill="1" applyBorder="1" applyAlignment="1" applyProtection="1">
      <alignment vertical="center"/>
      <protection/>
    </xf>
    <xf numFmtId="182" fontId="8" fillId="0" borderId="58" xfId="0" applyNumberFormat="1" applyFont="1" applyFill="1" applyBorder="1" applyAlignment="1" applyProtection="1">
      <alignment vertical="center"/>
      <protection/>
    </xf>
    <xf numFmtId="179" fontId="8" fillId="0" borderId="59" xfId="0" applyNumberFormat="1" applyFont="1" applyFill="1" applyBorder="1" applyAlignment="1" applyProtection="1">
      <alignment vertical="center"/>
      <protection/>
    </xf>
    <xf numFmtId="183" fontId="8" fillId="0" borderId="54" xfId="0" applyNumberFormat="1" applyFont="1" applyFill="1" applyBorder="1" applyAlignment="1" applyProtection="1">
      <alignment vertical="center"/>
      <protection/>
    </xf>
    <xf numFmtId="182" fontId="8" fillId="0" borderId="60" xfId="0" applyNumberFormat="1" applyFont="1" applyFill="1" applyBorder="1" applyAlignment="1" applyProtection="1">
      <alignment vertical="center"/>
      <protection/>
    </xf>
    <xf numFmtId="0" fontId="8" fillId="2" borderId="2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182" fontId="8" fillId="0" borderId="61" xfId="0" applyNumberFormat="1" applyFont="1" applyFill="1" applyBorder="1" applyAlignment="1" applyProtection="1">
      <alignment vertical="center"/>
      <protection/>
    </xf>
    <xf numFmtId="179" fontId="8" fillId="0" borderId="57" xfId="0" applyNumberFormat="1" applyFont="1" applyFill="1" applyBorder="1" applyAlignment="1" applyProtection="1">
      <alignment vertical="center"/>
      <protection/>
    </xf>
    <xf numFmtId="182" fontId="8" fillId="0" borderId="56" xfId="0" applyNumberFormat="1" applyFont="1" applyFill="1" applyBorder="1" applyAlignment="1" applyProtection="1">
      <alignment vertical="center"/>
      <protection locked="0"/>
    </xf>
    <xf numFmtId="179" fontId="8" fillId="0" borderId="61" xfId="0" applyNumberFormat="1" applyFont="1" applyFill="1" applyBorder="1" applyAlignment="1" applyProtection="1">
      <alignment vertical="center"/>
      <protection/>
    </xf>
    <xf numFmtId="179" fontId="8" fillId="2" borderId="27" xfId="0" applyNumberFormat="1" applyFont="1" applyFill="1" applyBorder="1" applyAlignment="1" applyProtection="1">
      <alignment vertical="center"/>
      <protection/>
    </xf>
    <xf numFmtId="182" fontId="8" fillId="2" borderId="62" xfId="0" applyNumberFormat="1" applyFont="1" applyFill="1" applyBorder="1" applyAlignment="1" applyProtection="1">
      <alignment vertical="center"/>
      <protection/>
    </xf>
    <xf numFmtId="182" fontId="8" fillId="2" borderId="27" xfId="0" applyNumberFormat="1" applyFont="1" applyFill="1" applyBorder="1" applyAlignment="1" applyProtection="1">
      <alignment vertical="center"/>
      <protection/>
    </xf>
    <xf numFmtId="182" fontId="8" fillId="2" borderId="27" xfId="0" applyNumberFormat="1" applyFont="1" applyFill="1" applyBorder="1" applyAlignment="1" applyProtection="1">
      <alignment vertical="center"/>
      <protection locked="0"/>
    </xf>
    <xf numFmtId="179" fontId="8" fillId="2" borderId="62" xfId="0" applyNumberFormat="1" applyFont="1" applyFill="1" applyBorder="1" applyAlignment="1" applyProtection="1">
      <alignment vertical="center"/>
      <protection/>
    </xf>
    <xf numFmtId="183" fontId="8" fillId="2" borderId="63" xfId="0" applyNumberFormat="1" applyFont="1" applyFill="1" applyBorder="1" applyAlignment="1" applyProtection="1">
      <alignment vertical="center"/>
      <protection/>
    </xf>
    <xf numFmtId="182" fontId="8" fillId="2" borderId="64" xfId="0" applyNumberFormat="1" applyFont="1" applyFill="1" applyBorder="1" applyAlignment="1" applyProtection="1">
      <alignment vertical="center"/>
      <protection/>
    </xf>
    <xf numFmtId="182" fontId="8" fillId="2" borderId="10" xfId="0" applyNumberFormat="1" applyFont="1" applyFill="1" applyBorder="1" applyAlignment="1" applyProtection="1">
      <alignment vertical="center"/>
      <protection/>
    </xf>
    <xf numFmtId="179" fontId="8" fillId="2" borderId="53" xfId="0" applyNumberFormat="1" applyFont="1" applyFill="1" applyBorder="1" applyAlignment="1" applyProtection="1">
      <alignment vertical="center"/>
      <protection/>
    </xf>
    <xf numFmtId="182" fontId="8" fillId="2" borderId="53" xfId="0" applyNumberFormat="1" applyFont="1" applyFill="1" applyBorder="1" applyAlignment="1" applyProtection="1">
      <alignment vertical="center"/>
      <protection/>
    </xf>
    <xf numFmtId="182" fontId="8" fillId="2" borderId="53" xfId="0" applyNumberFormat="1" applyFont="1" applyFill="1" applyBorder="1" applyAlignment="1" applyProtection="1">
      <alignment vertical="center"/>
      <protection locked="0"/>
    </xf>
    <xf numFmtId="183" fontId="8" fillId="2" borderId="54" xfId="0" applyNumberFormat="1" applyFont="1" applyFill="1" applyBorder="1" applyAlignment="1" applyProtection="1">
      <alignment vertical="center"/>
      <protection/>
    </xf>
    <xf numFmtId="182" fontId="8" fillId="2" borderId="60" xfId="0" applyNumberFormat="1" applyFont="1" applyFill="1" applyBorder="1" applyAlignment="1" applyProtection="1">
      <alignment vertical="center"/>
      <protection/>
    </xf>
    <xf numFmtId="179" fontId="8" fillId="2" borderId="65" xfId="0" applyNumberFormat="1" applyFont="1" applyFill="1" applyBorder="1" applyAlignment="1" applyProtection="1">
      <alignment vertical="center"/>
      <protection/>
    </xf>
    <xf numFmtId="179" fontId="8" fillId="0" borderId="53" xfId="0" applyNumberFormat="1" applyFont="1" applyFill="1" applyBorder="1" applyAlignment="1" applyProtection="1">
      <alignment vertical="center"/>
      <protection locked="0"/>
    </xf>
    <xf numFmtId="179" fontId="8" fillId="0" borderId="4" xfId="0" applyNumberFormat="1" applyFont="1" applyFill="1" applyBorder="1" applyAlignment="1">
      <alignment horizontal="center" vertical="center"/>
    </xf>
    <xf numFmtId="179" fontId="8" fillId="0" borderId="37" xfId="0" applyNumberFormat="1" applyFont="1" applyFill="1" applyBorder="1" applyAlignment="1" applyProtection="1">
      <alignment vertical="center"/>
      <protection locked="0"/>
    </xf>
    <xf numFmtId="179" fontId="8" fillId="0" borderId="39" xfId="0" applyNumberFormat="1" applyFont="1" applyFill="1" applyBorder="1" applyAlignment="1" applyProtection="1">
      <alignment vertical="center"/>
      <protection locked="0"/>
    </xf>
    <xf numFmtId="179" fontId="8" fillId="0" borderId="42" xfId="0" applyNumberFormat="1" applyFont="1" applyFill="1" applyBorder="1" applyAlignment="1" applyProtection="1">
      <alignment vertical="center"/>
      <protection locked="0"/>
    </xf>
    <xf numFmtId="179" fontId="8" fillId="0" borderId="14" xfId="0" applyNumberFormat="1" applyFont="1" applyFill="1" applyBorder="1" applyAlignment="1" applyProtection="1">
      <alignment vertical="center"/>
      <protection/>
    </xf>
    <xf numFmtId="179" fontId="8" fillId="0" borderId="31" xfId="0" applyNumberFormat="1" applyFont="1" applyFill="1" applyBorder="1" applyAlignment="1" applyProtection="1">
      <alignment vertical="center"/>
      <protection locked="0"/>
    </xf>
    <xf numFmtId="179" fontId="8" fillId="0" borderId="44" xfId="0" applyNumberFormat="1" applyFont="1" applyFill="1" applyBorder="1" applyAlignment="1" applyProtection="1">
      <alignment vertical="center"/>
      <protection locked="0"/>
    </xf>
    <xf numFmtId="183" fontId="8" fillId="0" borderId="66" xfId="0" applyNumberFormat="1" applyFont="1" applyFill="1" applyBorder="1" applyAlignment="1" applyProtection="1">
      <alignment vertical="center"/>
      <protection locked="0"/>
    </xf>
    <xf numFmtId="183" fontId="8" fillId="0" borderId="67" xfId="0" applyNumberFormat="1" applyFont="1" applyFill="1" applyBorder="1" applyAlignment="1" applyProtection="1">
      <alignment vertical="center"/>
      <protection locked="0"/>
    </xf>
    <xf numFmtId="183" fontId="8" fillId="0" borderId="68" xfId="0" applyNumberFormat="1" applyFont="1" applyFill="1" applyBorder="1" applyAlignment="1" applyProtection="1">
      <alignment vertical="center"/>
      <protection locked="0"/>
    </xf>
    <xf numFmtId="183" fontId="8" fillId="0" borderId="69" xfId="0" applyNumberFormat="1" applyFont="1" applyFill="1" applyBorder="1" applyAlignment="1" applyProtection="1">
      <alignment vertical="center"/>
      <protection locked="0"/>
    </xf>
    <xf numFmtId="183" fontId="8" fillId="0" borderId="70" xfId="0" applyNumberFormat="1" applyFont="1" applyFill="1" applyBorder="1" applyAlignment="1" applyProtection="1">
      <alignment vertical="center"/>
      <protection locked="0"/>
    </xf>
    <xf numFmtId="183" fontId="8" fillId="0" borderId="71" xfId="0" applyNumberFormat="1" applyFont="1" applyFill="1" applyBorder="1" applyAlignment="1" applyProtection="1">
      <alignment vertical="center"/>
      <protection locked="0"/>
    </xf>
    <xf numFmtId="182" fontId="8" fillId="0" borderId="64" xfId="0" applyNumberFormat="1" applyFont="1" applyFill="1" applyBorder="1" applyAlignment="1" applyProtection="1">
      <alignment vertical="center"/>
      <protection locked="0"/>
    </xf>
    <xf numFmtId="182" fontId="8" fillId="0" borderId="12" xfId="0" applyNumberFormat="1" applyFont="1" applyFill="1" applyBorder="1" applyAlignment="1" applyProtection="1">
      <alignment vertical="center"/>
      <protection locked="0"/>
    </xf>
    <xf numFmtId="182" fontId="8" fillId="0" borderId="60" xfId="0" applyNumberFormat="1" applyFont="1" applyFill="1" applyBorder="1" applyAlignment="1" applyProtection="1">
      <alignment vertical="center"/>
      <protection locked="0"/>
    </xf>
    <xf numFmtId="182" fontId="8" fillId="0" borderId="72" xfId="0" applyNumberFormat="1" applyFont="1" applyFill="1" applyBorder="1" applyAlignment="1" applyProtection="1">
      <alignment vertical="center"/>
      <protection locked="0"/>
    </xf>
    <xf numFmtId="182" fontId="8" fillId="0" borderId="62" xfId="0" applyNumberFormat="1" applyFont="1" applyFill="1" applyBorder="1" applyAlignment="1">
      <alignment vertical="center"/>
    </xf>
    <xf numFmtId="182" fontId="8" fillId="0" borderId="10" xfId="0" applyNumberFormat="1" applyFont="1" applyFill="1" applyBorder="1" applyAlignment="1">
      <alignment vertical="center"/>
    </xf>
    <xf numFmtId="182" fontId="8" fillId="0" borderId="73" xfId="0" applyNumberFormat="1" applyFont="1" applyFill="1" applyBorder="1" applyAlignment="1" applyProtection="1">
      <alignment vertical="center"/>
      <protection locked="0"/>
    </xf>
    <xf numFmtId="182" fontId="8" fillId="0" borderId="74" xfId="0" applyNumberFormat="1" applyFont="1" applyFill="1" applyBorder="1" applyAlignment="1" applyProtection="1">
      <alignment vertical="center"/>
      <protection locked="0"/>
    </xf>
    <xf numFmtId="183" fontId="8" fillId="0" borderId="21" xfId="0" applyNumberFormat="1" applyFont="1" applyFill="1" applyBorder="1" applyAlignment="1">
      <alignment horizontal="center" vertical="center" wrapText="1"/>
    </xf>
    <xf numFmtId="183" fontId="8" fillId="0" borderId="17" xfId="0" applyNumberFormat="1" applyFont="1" applyFill="1" applyBorder="1" applyAlignment="1">
      <alignment horizontal="center" vertical="center" wrapText="1"/>
    </xf>
    <xf numFmtId="183" fontId="8" fillId="0" borderId="33" xfId="0" applyNumberFormat="1" applyFont="1" applyFill="1" applyBorder="1" applyAlignment="1">
      <alignment horizontal="center" vertical="center" wrapText="1"/>
    </xf>
    <xf numFmtId="183" fontId="8" fillId="0" borderId="20" xfId="0" applyNumberFormat="1" applyFont="1" applyFill="1" applyBorder="1" applyAlignment="1">
      <alignment horizontal="center" vertical="center" wrapText="1"/>
    </xf>
    <xf numFmtId="183" fontId="8" fillId="2" borderId="27" xfId="0" applyNumberFormat="1" applyFont="1" applyFill="1" applyBorder="1" applyAlignment="1" applyProtection="1">
      <alignment vertical="center"/>
      <protection/>
    </xf>
    <xf numFmtId="183" fontId="8" fillId="2" borderId="9" xfId="0" applyNumberFormat="1" applyFont="1" applyFill="1" applyBorder="1" applyAlignment="1" applyProtection="1">
      <alignment vertical="center"/>
      <protection/>
    </xf>
    <xf numFmtId="183" fontId="8" fillId="2" borderId="53" xfId="0" applyNumberFormat="1" applyFont="1" applyFill="1" applyBorder="1" applyAlignment="1" applyProtection="1">
      <alignment vertical="center"/>
      <protection/>
    </xf>
    <xf numFmtId="183" fontId="8" fillId="0" borderId="9" xfId="0" applyNumberFormat="1" applyFont="1" applyFill="1" applyBorder="1" applyAlignment="1" applyProtection="1">
      <alignment vertical="center"/>
      <protection/>
    </xf>
    <xf numFmtId="183" fontId="8" fillId="0" borderId="25" xfId="0" applyNumberFormat="1" applyFont="1" applyFill="1" applyBorder="1" applyAlignment="1" applyProtection="1">
      <alignment vertical="center"/>
      <protection/>
    </xf>
    <xf numFmtId="182" fontId="8" fillId="0" borderId="1" xfId="0" applyNumberFormat="1" applyFont="1" applyFill="1" applyBorder="1" applyAlignment="1">
      <alignment vertical="center" wrapText="1"/>
    </xf>
    <xf numFmtId="183" fontId="8" fillId="0" borderId="27" xfId="0" applyNumberFormat="1" applyFont="1" applyFill="1" applyBorder="1" applyAlignment="1" applyProtection="1">
      <alignment vertical="center"/>
      <protection locked="0"/>
    </xf>
    <xf numFmtId="183" fontId="8" fillId="0" borderId="9" xfId="0" applyNumberFormat="1" applyFont="1" applyFill="1" applyBorder="1" applyAlignment="1" applyProtection="1">
      <alignment vertical="center"/>
      <protection locked="0"/>
    </xf>
    <xf numFmtId="183" fontId="8" fillId="0" borderId="46" xfId="0" applyNumberFormat="1" applyFont="1" applyFill="1" applyBorder="1" applyAlignment="1" applyProtection="1">
      <alignment vertical="center"/>
      <protection locked="0"/>
    </xf>
    <xf numFmtId="183" fontId="8" fillId="0" borderId="26" xfId="0" applyNumberFormat="1" applyFont="1" applyFill="1" applyBorder="1" applyAlignment="1" applyProtection="1">
      <alignment vertical="center"/>
      <protection locked="0"/>
    </xf>
    <xf numFmtId="183" fontId="8" fillId="0" borderId="53" xfId="0" applyNumberFormat="1" applyFont="1" applyFill="1" applyBorder="1" applyAlignment="1" applyProtection="1">
      <alignment vertical="center"/>
      <protection locked="0"/>
    </xf>
    <xf numFmtId="183" fontId="8" fillId="0" borderId="13" xfId="0" applyNumberFormat="1" applyFont="1" applyFill="1" applyBorder="1" applyAlignment="1" applyProtection="1">
      <alignment vertical="center"/>
      <protection locked="0"/>
    </xf>
    <xf numFmtId="183" fontId="8" fillId="0" borderId="56" xfId="0" applyNumberFormat="1" applyFont="1" applyFill="1" applyBorder="1" applyAlignment="1" applyProtection="1">
      <alignment vertical="center"/>
      <protection locked="0"/>
    </xf>
    <xf numFmtId="0" fontId="8" fillId="0" borderId="2" xfId="0" applyFont="1" applyFill="1" applyBorder="1" applyAlignment="1">
      <alignment horizontal="center" vertical="center" wrapText="1"/>
    </xf>
    <xf numFmtId="183" fontId="8" fillId="0" borderId="4" xfId="0" applyNumberFormat="1" applyFont="1" applyFill="1" applyBorder="1" applyAlignment="1">
      <alignment horizontal="center" vertical="center" wrapText="1"/>
    </xf>
    <xf numFmtId="182" fontId="8" fillId="0" borderId="75" xfId="0" applyNumberFormat="1" applyFont="1" applyFill="1" applyBorder="1" applyAlignment="1" applyProtection="1">
      <alignment vertical="center"/>
      <protection locked="0"/>
    </xf>
    <xf numFmtId="179" fontId="8" fillId="3" borderId="27" xfId="0" applyNumberFormat="1" applyFont="1" applyFill="1" applyBorder="1" applyAlignment="1">
      <alignment vertical="center"/>
    </xf>
    <xf numFmtId="179" fontId="8" fillId="3" borderId="9" xfId="0" applyNumberFormat="1" applyFont="1" applyFill="1" applyBorder="1" applyAlignment="1">
      <alignment vertical="center"/>
    </xf>
    <xf numFmtId="179" fontId="8" fillId="3" borderId="25" xfId="0" applyNumberFormat="1" applyFont="1" applyFill="1" applyBorder="1" applyAlignment="1">
      <alignment vertical="center"/>
    </xf>
    <xf numFmtId="179" fontId="8" fillId="3" borderId="13" xfId="0" applyNumberFormat="1" applyFont="1" applyFill="1" applyBorder="1" applyAlignment="1" applyProtection="1">
      <alignment vertical="center"/>
      <protection/>
    </xf>
    <xf numFmtId="179" fontId="8" fillId="3" borderId="17" xfId="0" applyNumberFormat="1" applyFont="1" applyFill="1" applyBorder="1" applyAlignment="1">
      <alignment horizontal="center" vertical="center"/>
    </xf>
    <xf numFmtId="179" fontId="8" fillId="3" borderId="46" xfId="0" applyNumberFormat="1" applyFont="1" applyFill="1" applyBorder="1" applyAlignment="1">
      <alignment horizontal="center" vertical="center"/>
    </xf>
    <xf numFmtId="182" fontId="8" fillId="3" borderId="37" xfId="0" applyNumberFormat="1" applyFont="1" applyFill="1" applyBorder="1" applyAlignment="1">
      <alignment vertical="center"/>
    </xf>
    <xf numFmtId="182" fontId="8" fillId="3" borderId="39" xfId="0" applyNumberFormat="1" applyFont="1" applyFill="1" applyBorder="1" applyAlignment="1">
      <alignment vertical="center"/>
    </xf>
    <xf numFmtId="182" fontId="8" fillId="3" borderId="14" xfId="0" applyNumberFormat="1" applyFont="1" applyFill="1" applyBorder="1" applyAlignment="1" applyProtection="1">
      <alignment vertical="center"/>
      <protection/>
    </xf>
    <xf numFmtId="182" fontId="8" fillId="3" borderId="47" xfId="0" applyNumberFormat="1" applyFont="1" applyFill="1" applyBorder="1" applyAlignment="1">
      <alignment horizontal="center" vertical="center"/>
    </xf>
    <xf numFmtId="182" fontId="8" fillId="3" borderId="27" xfId="0" applyNumberFormat="1" applyFont="1" applyFill="1" applyBorder="1" applyAlignment="1" applyProtection="1">
      <alignment vertical="center"/>
      <protection locked="0"/>
    </xf>
    <xf numFmtId="182" fontId="8" fillId="3" borderId="9" xfId="0" applyNumberFormat="1" applyFont="1" applyFill="1" applyBorder="1" applyAlignment="1" applyProtection="1">
      <alignment vertical="center"/>
      <protection locked="0"/>
    </xf>
    <xf numFmtId="182" fontId="8" fillId="3" borderId="53" xfId="0" applyNumberFormat="1" applyFont="1" applyFill="1" applyBorder="1" applyAlignment="1" applyProtection="1">
      <alignment vertical="center"/>
      <protection locked="0"/>
    </xf>
    <xf numFmtId="182" fontId="8" fillId="3" borderId="13" xfId="0" applyNumberFormat="1" applyFont="1" applyFill="1" applyBorder="1" applyAlignment="1" applyProtection="1">
      <alignment vertical="center"/>
      <protection locked="0"/>
    </xf>
    <xf numFmtId="179" fontId="8" fillId="3" borderId="4" xfId="0" applyNumberFormat="1" applyFont="1" applyFill="1" applyBorder="1" applyAlignment="1">
      <alignment horizontal="center" vertical="center"/>
    </xf>
    <xf numFmtId="179" fontId="8" fillId="0" borderId="56" xfId="0" applyNumberFormat="1" applyFont="1" applyFill="1" applyBorder="1" applyAlignment="1">
      <alignment vertical="center"/>
    </xf>
    <xf numFmtId="179" fontId="8" fillId="0" borderId="18" xfId="0" applyNumberFormat="1" applyFont="1" applyFill="1" applyBorder="1" applyAlignment="1" applyProtection="1">
      <alignment vertical="center"/>
      <protection/>
    </xf>
    <xf numFmtId="183" fontId="8" fillId="0" borderId="23" xfId="0" applyNumberFormat="1" applyFont="1" applyFill="1" applyBorder="1" applyAlignment="1" applyProtection="1">
      <alignment vertical="center"/>
      <protection locked="0"/>
    </xf>
    <xf numFmtId="183" fontId="8" fillId="0" borderId="45" xfId="0" applyNumberFormat="1" applyFont="1" applyFill="1" applyBorder="1" applyAlignment="1" applyProtection="1">
      <alignment vertical="center"/>
      <protection locked="0"/>
    </xf>
    <xf numFmtId="184" fontId="8" fillId="0" borderId="0" xfId="0" applyNumberFormat="1" applyFont="1" applyFill="1" applyAlignment="1">
      <alignment vertical="center"/>
    </xf>
    <xf numFmtId="184" fontId="8" fillId="0" borderId="17" xfId="0" applyNumberFormat="1" applyFont="1" applyFill="1" applyBorder="1" applyAlignment="1">
      <alignment horizontal="center" vertical="center" wrapText="1"/>
    </xf>
    <xf numFmtId="184" fontId="8" fillId="0" borderId="20" xfId="0" applyNumberFormat="1" applyFont="1" applyFill="1" applyBorder="1" applyAlignment="1">
      <alignment horizontal="center" vertical="center" wrapText="1"/>
    </xf>
    <xf numFmtId="184" fontId="8" fillId="2" borderId="27" xfId="0" applyNumberFormat="1" applyFont="1" applyFill="1" applyBorder="1" applyAlignment="1" applyProtection="1">
      <alignment vertical="center"/>
      <protection/>
    </xf>
    <xf numFmtId="184" fontId="8" fillId="2" borderId="9" xfId="0" applyNumberFormat="1" applyFont="1" applyFill="1" applyBorder="1" applyAlignment="1" applyProtection="1">
      <alignment vertical="center"/>
      <protection/>
    </xf>
    <xf numFmtId="184" fontId="8" fillId="0" borderId="57" xfId="0" applyNumberFormat="1" applyFont="1" applyFill="1" applyBorder="1" applyAlignment="1" applyProtection="1">
      <alignment vertical="center"/>
      <protection/>
    </xf>
    <xf numFmtId="184" fontId="8" fillId="0" borderId="11" xfId="0" applyNumberFormat="1" applyFont="1" applyFill="1" applyBorder="1" applyAlignment="1" applyProtection="1">
      <alignment vertical="center"/>
      <protection/>
    </xf>
    <xf numFmtId="184" fontId="8" fillId="0" borderId="54" xfId="0" applyNumberFormat="1" applyFont="1" applyFill="1" applyBorder="1" applyAlignment="1" applyProtection="1">
      <alignment vertical="center"/>
      <protection/>
    </xf>
    <xf numFmtId="183" fontId="8" fillId="0" borderId="53" xfId="0" applyNumberFormat="1" applyFont="1" applyFill="1" applyBorder="1" applyAlignment="1" applyProtection="1">
      <alignment vertical="center"/>
      <protection/>
    </xf>
    <xf numFmtId="0" fontId="8" fillId="0" borderId="26" xfId="0" applyFont="1" applyFill="1" applyBorder="1" applyAlignment="1">
      <alignment horizontal="center" vertical="center"/>
    </xf>
    <xf numFmtId="179" fontId="8" fillId="0" borderId="26" xfId="0" applyNumberFormat="1" applyFont="1" applyFill="1" applyBorder="1" applyAlignment="1" applyProtection="1">
      <alignment vertical="center"/>
      <protection/>
    </xf>
    <xf numFmtId="182" fontId="8" fillId="0" borderId="49" xfId="0" applyNumberFormat="1" applyFont="1" applyFill="1" applyBorder="1" applyAlignment="1" applyProtection="1">
      <alignment vertical="center"/>
      <protection/>
    </xf>
    <xf numFmtId="182" fontId="8" fillId="0" borderId="26" xfId="0" applyNumberFormat="1" applyFont="1" applyFill="1" applyBorder="1" applyAlignment="1" applyProtection="1">
      <alignment vertical="center"/>
      <protection/>
    </xf>
    <xf numFmtId="179" fontId="8" fillId="0" borderId="49" xfId="0" applyNumberFormat="1" applyFont="1" applyFill="1" applyBorder="1" applyAlignment="1" applyProtection="1">
      <alignment vertical="center"/>
      <protection/>
    </xf>
    <xf numFmtId="183" fontId="8" fillId="0" borderId="76" xfId="0" applyNumberFormat="1" applyFont="1" applyFill="1" applyBorder="1" applyAlignment="1" applyProtection="1">
      <alignment vertical="center"/>
      <protection/>
    </xf>
    <xf numFmtId="184" fontId="8" fillId="0" borderId="77" xfId="0" applyNumberFormat="1" applyFont="1" applyFill="1" applyBorder="1" applyAlignment="1" applyProtection="1">
      <alignment vertical="center"/>
      <protection/>
    </xf>
    <xf numFmtId="183" fontId="8" fillId="0" borderId="26" xfId="0" applyNumberFormat="1" applyFont="1" applyFill="1" applyBorder="1" applyAlignment="1" applyProtection="1">
      <alignment vertical="center"/>
      <protection/>
    </xf>
    <xf numFmtId="0" fontId="8" fillId="0" borderId="25" xfId="0" applyFont="1" applyFill="1" applyBorder="1" applyAlignment="1">
      <alignment horizontal="center" vertical="center"/>
    </xf>
    <xf numFmtId="179" fontId="8" fillId="0" borderId="25" xfId="0" applyNumberFormat="1" applyFont="1" applyFill="1" applyBorder="1" applyAlignment="1" applyProtection="1">
      <alignment vertical="center"/>
      <protection/>
    </xf>
    <xf numFmtId="182" fontId="8" fillId="0" borderId="25" xfId="0" applyNumberFormat="1" applyFont="1" applyFill="1" applyBorder="1" applyAlignment="1" applyProtection="1">
      <alignment vertical="center"/>
      <protection/>
    </xf>
    <xf numFmtId="182" fontId="8" fillId="0" borderId="25" xfId="0" applyNumberFormat="1" applyFont="1" applyFill="1" applyBorder="1" applyAlignment="1" applyProtection="1">
      <alignment vertical="center"/>
      <protection locked="0"/>
    </xf>
    <xf numFmtId="179" fontId="8" fillId="0" borderId="65" xfId="0" applyNumberFormat="1" applyFont="1" applyFill="1" applyBorder="1" applyAlignment="1" applyProtection="1">
      <alignment vertical="center"/>
      <protection/>
    </xf>
    <xf numFmtId="183" fontId="8" fillId="0" borderId="78" xfId="0" applyNumberFormat="1" applyFont="1" applyFill="1" applyBorder="1" applyAlignment="1" applyProtection="1">
      <alignment vertical="center"/>
      <protection/>
    </xf>
    <xf numFmtId="0" fontId="8" fillId="2" borderId="5" xfId="0" applyFont="1" applyFill="1" applyBorder="1" applyAlignment="1">
      <alignment horizontal="center" vertical="center"/>
    </xf>
    <xf numFmtId="179" fontId="8" fillId="2" borderId="4" xfId="0" applyNumberFormat="1" applyFont="1" applyFill="1" applyBorder="1" applyAlignment="1" applyProtection="1">
      <alignment vertical="center"/>
      <protection/>
    </xf>
    <xf numFmtId="179" fontId="8" fillId="2" borderId="7" xfId="0" applyNumberFormat="1" applyFont="1" applyFill="1" applyBorder="1" applyAlignment="1" applyProtection="1">
      <alignment vertical="center"/>
      <protection/>
    </xf>
    <xf numFmtId="184" fontId="8" fillId="2" borderId="4" xfId="0" applyNumberFormat="1" applyFont="1" applyFill="1" applyBorder="1" applyAlignment="1" applyProtection="1">
      <alignment vertical="center"/>
      <protection/>
    </xf>
    <xf numFmtId="182" fontId="8" fillId="0" borderId="74" xfId="0" applyNumberFormat="1" applyFont="1" applyFill="1" applyBorder="1" applyAlignment="1" applyProtection="1">
      <alignment vertical="center"/>
      <protection/>
    </xf>
    <xf numFmtId="0" fontId="8" fillId="2" borderId="26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179" fontId="8" fillId="0" borderId="46" xfId="0" applyNumberFormat="1" applyFont="1" applyFill="1" applyBorder="1" applyAlignment="1" applyProtection="1">
      <alignment vertical="center"/>
      <protection/>
    </xf>
    <xf numFmtId="182" fontId="8" fillId="0" borderId="46" xfId="0" applyNumberFormat="1" applyFont="1" applyFill="1" applyBorder="1" applyAlignment="1" applyProtection="1">
      <alignment vertical="center"/>
      <protection/>
    </xf>
    <xf numFmtId="179" fontId="8" fillId="0" borderId="47" xfId="0" applyNumberFormat="1" applyFont="1" applyFill="1" applyBorder="1" applyAlignment="1" applyProtection="1">
      <alignment vertical="center"/>
      <protection/>
    </xf>
    <xf numFmtId="183" fontId="8" fillId="0" borderId="79" xfId="0" applyNumberFormat="1" applyFont="1" applyFill="1" applyBorder="1" applyAlignment="1" applyProtection="1">
      <alignment vertical="center"/>
      <protection/>
    </xf>
    <xf numFmtId="183" fontId="8" fillId="0" borderId="46" xfId="0" applyNumberFormat="1" applyFont="1" applyFill="1" applyBorder="1" applyAlignment="1" applyProtection="1">
      <alignment vertical="center"/>
      <protection/>
    </xf>
    <xf numFmtId="182" fontId="8" fillId="2" borderId="61" xfId="0" applyNumberFormat="1" applyFont="1" applyFill="1" applyBorder="1" applyAlignment="1" applyProtection="1">
      <alignment vertical="center"/>
      <protection/>
    </xf>
    <xf numFmtId="179" fontId="8" fillId="2" borderId="26" xfId="0" applyNumberFormat="1" applyFont="1" applyFill="1" applyBorder="1" applyAlignment="1" applyProtection="1">
      <alignment vertical="center"/>
      <protection/>
    </xf>
    <xf numFmtId="182" fontId="8" fillId="2" borderId="26" xfId="0" applyNumberFormat="1" applyFont="1" applyFill="1" applyBorder="1" applyAlignment="1" applyProtection="1">
      <alignment vertical="center"/>
      <protection/>
    </xf>
    <xf numFmtId="182" fontId="8" fillId="2" borderId="26" xfId="0" applyNumberFormat="1" applyFont="1" applyFill="1" applyBorder="1" applyAlignment="1" applyProtection="1">
      <alignment vertical="center"/>
      <protection locked="0"/>
    </xf>
    <xf numFmtId="179" fontId="8" fillId="2" borderId="49" xfId="0" applyNumberFormat="1" applyFont="1" applyFill="1" applyBorder="1" applyAlignment="1" applyProtection="1">
      <alignment vertical="center"/>
      <protection/>
    </xf>
    <xf numFmtId="183" fontId="8" fillId="2" borderId="76" xfId="0" applyNumberFormat="1" applyFont="1" applyFill="1" applyBorder="1" applyAlignment="1" applyProtection="1">
      <alignment vertical="center"/>
      <protection/>
    </xf>
    <xf numFmtId="183" fontId="8" fillId="2" borderId="26" xfId="0" applyNumberFormat="1" applyFont="1" applyFill="1" applyBorder="1" applyAlignment="1" applyProtection="1">
      <alignment vertical="center"/>
      <protection/>
    </xf>
    <xf numFmtId="182" fontId="8" fillId="2" borderId="74" xfId="0" applyNumberFormat="1" applyFont="1" applyFill="1" applyBorder="1" applyAlignment="1" applyProtection="1">
      <alignment vertical="center"/>
      <protection/>
    </xf>
    <xf numFmtId="179" fontId="8" fillId="2" borderId="46" xfId="0" applyNumberFormat="1" applyFont="1" applyFill="1" applyBorder="1" applyAlignment="1" applyProtection="1">
      <alignment vertical="center"/>
      <protection/>
    </xf>
    <xf numFmtId="182" fontId="8" fillId="2" borderId="46" xfId="0" applyNumberFormat="1" applyFont="1" applyFill="1" applyBorder="1" applyAlignment="1" applyProtection="1">
      <alignment vertical="center"/>
      <protection/>
    </xf>
    <xf numFmtId="182" fontId="8" fillId="2" borderId="46" xfId="0" applyNumberFormat="1" applyFont="1" applyFill="1" applyBorder="1" applyAlignment="1" applyProtection="1">
      <alignment vertical="center"/>
      <protection locked="0"/>
    </xf>
    <xf numFmtId="179" fontId="8" fillId="2" borderId="47" xfId="0" applyNumberFormat="1" applyFont="1" applyFill="1" applyBorder="1" applyAlignment="1" applyProtection="1">
      <alignment vertical="center"/>
      <protection/>
    </xf>
    <xf numFmtId="183" fontId="8" fillId="2" borderId="79" xfId="0" applyNumberFormat="1" applyFont="1" applyFill="1" applyBorder="1" applyAlignment="1" applyProtection="1">
      <alignment vertical="center"/>
      <protection/>
    </xf>
    <xf numFmtId="183" fontId="8" fillId="2" borderId="46" xfId="0" applyNumberFormat="1" applyFont="1" applyFill="1" applyBorder="1" applyAlignment="1" applyProtection="1">
      <alignment vertical="center"/>
      <protection/>
    </xf>
    <xf numFmtId="182" fontId="8" fillId="2" borderId="75" xfId="0" applyNumberFormat="1" applyFont="1" applyFill="1" applyBorder="1" applyAlignment="1" applyProtection="1">
      <alignment vertical="center"/>
      <protection/>
    </xf>
    <xf numFmtId="179" fontId="8" fillId="0" borderId="17" xfId="0" applyNumberFormat="1" applyFont="1" applyFill="1" applyBorder="1" applyAlignment="1" applyProtection="1">
      <alignment vertical="center"/>
      <protection/>
    </xf>
    <xf numFmtId="182" fontId="8" fillId="2" borderId="49" xfId="0" applyNumberFormat="1" applyFont="1" applyFill="1" applyBorder="1" applyAlignment="1" applyProtection="1">
      <alignment vertical="center"/>
      <protection/>
    </xf>
    <xf numFmtId="182" fontId="8" fillId="0" borderId="47" xfId="0" applyNumberFormat="1" applyFont="1" applyFill="1" applyBorder="1" applyAlignment="1" applyProtection="1">
      <alignment vertical="center"/>
      <protection/>
    </xf>
    <xf numFmtId="184" fontId="8" fillId="0" borderId="65" xfId="0" applyNumberFormat="1" applyFont="1" applyFill="1" applyBorder="1" applyAlignment="1" applyProtection="1">
      <alignment vertical="center"/>
      <protection/>
    </xf>
    <xf numFmtId="179" fontId="8" fillId="2" borderId="59" xfId="0" applyNumberFormat="1" applyFont="1" applyFill="1" applyBorder="1" applyAlignment="1" applyProtection="1">
      <alignment vertical="center"/>
      <protection/>
    </xf>
    <xf numFmtId="179" fontId="8" fillId="0" borderId="80" xfId="0" applyNumberFormat="1" applyFont="1" applyFill="1" applyBorder="1" applyAlignment="1" applyProtection="1">
      <alignment vertical="center"/>
      <protection/>
    </xf>
    <xf numFmtId="179" fontId="8" fillId="3" borderId="9" xfId="0" applyNumberFormat="1" applyFont="1" applyFill="1" applyBorder="1" applyAlignment="1" applyProtection="1">
      <alignment vertical="center"/>
      <protection/>
    </xf>
    <xf numFmtId="182" fontId="8" fillId="3" borderId="10" xfId="0" applyNumberFormat="1" applyFont="1" applyFill="1" applyBorder="1" applyAlignment="1" applyProtection="1">
      <alignment vertical="center"/>
      <protection/>
    </xf>
    <xf numFmtId="179" fontId="8" fillId="3" borderId="53" xfId="0" applyNumberFormat="1" applyFont="1" applyFill="1" applyBorder="1" applyAlignment="1" applyProtection="1">
      <alignment vertical="center"/>
      <protection/>
    </xf>
    <xf numFmtId="182" fontId="8" fillId="3" borderId="59" xfId="0" applyNumberFormat="1" applyFont="1" applyFill="1" applyBorder="1" applyAlignment="1" applyProtection="1">
      <alignment vertical="center"/>
      <protection/>
    </xf>
    <xf numFmtId="179" fontId="8" fillId="3" borderId="46" xfId="0" applyNumberFormat="1" applyFont="1" applyFill="1" applyBorder="1" applyAlignment="1" applyProtection="1">
      <alignment vertical="center"/>
      <protection/>
    </xf>
    <xf numFmtId="182" fontId="8" fillId="3" borderId="47" xfId="0" applyNumberFormat="1" applyFont="1" applyFill="1" applyBorder="1" applyAlignment="1" applyProtection="1">
      <alignment vertical="center"/>
      <protection/>
    </xf>
    <xf numFmtId="182" fontId="8" fillId="3" borderId="61" xfId="0" applyNumberFormat="1" applyFont="1" applyFill="1" applyBorder="1" applyAlignment="1" applyProtection="1">
      <alignment vertical="center"/>
      <protection/>
    </xf>
    <xf numFmtId="182" fontId="8" fillId="3" borderId="7" xfId="0" applyNumberFormat="1" applyFont="1" applyFill="1" applyBorder="1" applyAlignment="1" applyProtection="1">
      <alignment vertical="center"/>
      <protection/>
    </xf>
    <xf numFmtId="179" fontId="8" fillId="3" borderId="25" xfId="0" applyNumberFormat="1" applyFont="1" applyFill="1" applyBorder="1" applyAlignment="1" applyProtection="1">
      <alignment vertical="center"/>
      <protection/>
    </xf>
    <xf numFmtId="182" fontId="8" fillId="3" borderId="81" xfId="0" applyNumberFormat="1" applyFont="1" applyFill="1" applyBorder="1" applyAlignment="1" applyProtection="1">
      <alignment vertical="center"/>
      <protection/>
    </xf>
    <xf numFmtId="182" fontId="8" fillId="3" borderId="65" xfId="0" applyNumberFormat="1" applyFont="1" applyFill="1" applyBorder="1" applyAlignment="1" applyProtection="1">
      <alignment vertical="center"/>
      <protection/>
    </xf>
    <xf numFmtId="182" fontId="8" fillId="3" borderId="34" xfId="0" applyNumberFormat="1" applyFont="1" applyFill="1" applyBorder="1" applyAlignment="1" applyProtection="1">
      <alignment vertical="center"/>
      <protection/>
    </xf>
    <xf numFmtId="182" fontId="8" fillId="3" borderId="9" xfId="0" applyNumberFormat="1" applyFont="1" applyFill="1" applyBorder="1" applyAlignment="1" applyProtection="1">
      <alignment vertical="center"/>
      <protection/>
    </xf>
    <xf numFmtId="182" fontId="8" fillId="3" borderId="53" xfId="0" applyNumberFormat="1" applyFont="1" applyFill="1" applyBorder="1" applyAlignment="1" applyProtection="1">
      <alignment vertical="center"/>
      <protection/>
    </xf>
    <xf numFmtId="182" fontId="8" fillId="3" borderId="46" xfId="0" applyNumberFormat="1" applyFont="1" applyFill="1" applyBorder="1" applyAlignment="1" applyProtection="1">
      <alignment vertical="center"/>
      <protection/>
    </xf>
    <xf numFmtId="182" fontId="8" fillId="3" borderId="25" xfId="0" applyNumberFormat="1" applyFont="1" applyFill="1" applyBorder="1" applyAlignment="1" applyProtection="1">
      <alignment vertical="center"/>
      <protection/>
    </xf>
    <xf numFmtId="184" fontId="8" fillId="0" borderId="27" xfId="0" applyNumberFormat="1" applyFont="1" applyFill="1" applyBorder="1" applyAlignment="1" applyProtection="1">
      <alignment vertical="center"/>
      <protection locked="0"/>
    </xf>
    <xf numFmtId="184" fontId="8" fillId="0" borderId="9" xfId="0" applyNumberFormat="1" applyFont="1" applyFill="1" applyBorder="1" applyAlignment="1" applyProtection="1">
      <alignment vertical="center"/>
      <protection locked="0"/>
    </xf>
    <xf numFmtId="184" fontId="8" fillId="0" borderId="53" xfId="0" applyNumberFormat="1" applyFont="1" applyFill="1" applyBorder="1" applyAlignment="1" applyProtection="1">
      <alignment vertical="center"/>
      <protection locked="0"/>
    </xf>
    <xf numFmtId="184" fontId="8" fillId="0" borderId="13" xfId="0" applyNumberFormat="1" applyFont="1" applyFill="1" applyBorder="1" applyAlignment="1" applyProtection="1">
      <alignment vertical="center"/>
      <protection/>
    </xf>
    <xf numFmtId="184" fontId="8" fillId="0" borderId="56" xfId="0" applyNumberFormat="1" applyFont="1" applyFill="1" applyBorder="1" applyAlignment="1" applyProtection="1">
      <alignment vertical="center"/>
      <protection locked="0"/>
    </xf>
    <xf numFmtId="184" fontId="8" fillId="0" borderId="46" xfId="0" applyNumberFormat="1" applyFont="1" applyFill="1" applyBorder="1" applyAlignment="1" applyProtection="1">
      <alignment vertical="center"/>
      <protection locked="0"/>
    </xf>
    <xf numFmtId="184" fontId="8" fillId="0" borderId="27" xfId="0" applyNumberFormat="1" applyFont="1" applyFill="1" applyBorder="1" applyAlignment="1">
      <alignment vertical="center"/>
    </xf>
    <xf numFmtId="184" fontId="8" fillId="0" borderId="9" xfId="0" applyNumberFormat="1" applyFont="1" applyFill="1" applyBorder="1" applyAlignment="1">
      <alignment vertical="center"/>
    </xf>
    <xf numFmtId="184" fontId="8" fillId="0" borderId="25" xfId="0" applyNumberFormat="1" applyFont="1" applyFill="1" applyBorder="1" applyAlignment="1">
      <alignment vertical="center"/>
    </xf>
    <xf numFmtId="184" fontId="8" fillId="0" borderId="26" xfId="0" applyNumberFormat="1" applyFont="1" applyFill="1" applyBorder="1" applyAlignment="1" applyProtection="1">
      <alignment vertical="center"/>
      <protection locked="0"/>
    </xf>
    <xf numFmtId="179" fontId="8" fillId="0" borderId="26" xfId="0" applyNumberFormat="1" applyFont="1" applyFill="1" applyBorder="1" applyAlignment="1">
      <alignment horizontal="right" vertical="center"/>
    </xf>
    <xf numFmtId="179" fontId="8" fillId="0" borderId="20" xfId="0" applyNumberFormat="1" applyFont="1" applyFill="1" applyBorder="1" applyAlignment="1">
      <alignment horizontal="right" vertical="center"/>
    </xf>
    <xf numFmtId="179" fontId="8" fillId="0" borderId="27" xfId="0" applyNumberFormat="1" applyFont="1" applyFill="1" applyBorder="1" applyAlignment="1">
      <alignment horizontal="right" vertical="center"/>
    </xf>
    <xf numFmtId="179" fontId="8" fillId="0" borderId="9" xfId="0" applyNumberFormat="1" applyFont="1" applyFill="1" applyBorder="1" applyAlignment="1">
      <alignment horizontal="right" vertical="center"/>
    </xf>
    <xf numFmtId="179" fontId="8" fillId="0" borderId="25" xfId="0" applyNumberFormat="1" applyFont="1" applyFill="1" applyBorder="1" applyAlignment="1">
      <alignment horizontal="right" vertical="center"/>
    </xf>
    <xf numFmtId="179" fontId="8" fillId="0" borderId="13" xfId="0" applyNumberFormat="1" applyFont="1" applyFill="1" applyBorder="1" applyAlignment="1" applyProtection="1">
      <alignment horizontal="right" vertical="center"/>
      <protection/>
    </xf>
    <xf numFmtId="179" fontId="8" fillId="0" borderId="82" xfId="0" applyNumberFormat="1" applyFont="1" applyFill="1" applyBorder="1" applyAlignment="1">
      <alignment horizontal="center" vertical="center" wrapText="1"/>
    </xf>
    <xf numFmtId="179" fontId="8" fillId="0" borderId="83" xfId="0" applyNumberFormat="1" applyFont="1" applyFill="1" applyBorder="1" applyAlignment="1">
      <alignment horizontal="center" vertical="center" wrapText="1"/>
    </xf>
    <xf numFmtId="179" fontId="8" fillId="0" borderId="84" xfId="0" applyNumberFormat="1" applyFont="1" applyFill="1" applyBorder="1" applyAlignment="1">
      <alignment horizontal="center" vertical="center" wrapText="1"/>
    </xf>
    <xf numFmtId="179" fontId="8" fillId="2" borderId="85" xfId="0" applyNumberFormat="1" applyFont="1" applyFill="1" applyBorder="1" applyAlignment="1">
      <alignment horizontal="center" vertical="center" wrapText="1"/>
    </xf>
    <xf numFmtId="179" fontId="8" fillId="2" borderId="83" xfId="0" applyNumberFormat="1" applyFont="1" applyFill="1" applyBorder="1" applyAlignment="1">
      <alignment horizontal="center" vertical="center" wrapText="1"/>
    </xf>
    <xf numFmtId="179" fontId="8" fillId="2" borderId="84" xfId="0" applyNumberFormat="1" applyFont="1" applyFill="1" applyBorder="1" applyAlignment="1">
      <alignment horizontal="center" vertical="center" wrapText="1"/>
    </xf>
    <xf numFmtId="179" fontId="8" fillId="2" borderId="86" xfId="0" applyNumberFormat="1" applyFont="1" applyFill="1" applyBorder="1" applyAlignment="1">
      <alignment horizontal="center" vertical="center" wrapText="1"/>
    </xf>
    <xf numFmtId="179" fontId="8" fillId="0" borderId="82" xfId="0" applyNumberFormat="1" applyFont="1" applyFill="1" applyBorder="1" applyAlignment="1">
      <alignment horizontal="center" vertical="center"/>
    </xf>
    <xf numFmtId="179" fontId="8" fillId="0" borderId="83" xfId="0" applyNumberFormat="1" applyFont="1" applyFill="1" applyBorder="1" applyAlignment="1">
      <alignment horizontal="center" vertical="center"/>
    </xf>
    <xf numFmtId="179" fontId="8" fillId="0" borderId="84" xfId="0" applyNumberFormat="1" applyFont="1" applyFill="1" applyBorder="1" applyAlignment="1">
      <alignment horizontal="center" vertical="center"/>
    </xf>
    <xf numFmtId="179" fontId="8" fillId="2" borderId="85" xfId="0" applyNumberFormat="1" applyFont="1" applyFill="1" applyBorder="1" applyAlignment="1">
      <alignment horizontal="center" vertical="center"/>
    </xf>
    <xf numFmtId="179" fontId="8" fillId="2" borderId="83" xfId="0" applyNumberFormat="1" applyFont="1" applyFill="1" applyBorder="1" applyAlignment="1">
      <alignment horizontal="center" vertical="center"/>
    </xf>
    <xf numFmtId="179" fontId="8" fillId="2" borderId="84" xfId="0" applyNumberFormat="1" applyFont="1" applyFill="1" applyBorder="1" applyAlignment="1">
      <alignment horizontal="center" vertical="center"/>
    </xf>
    <xf numFmtId="179" fontId="8" fillId="2" borderId="86" xfId="0" applyNumberFormat="1" applyFont="1" applyFill="1" applyBorder="1" applyAlignment="1">
      <alignment horizontal="center" vertical="center"/>
    </xf>
    <xf numFmtId="183" fontId="8" fillId="0" borderId="87" xfId="0" applyNumberFormat="1" applyFont="1" applyFill="1" applyBorder="1" applyAlignment="1">
      <alignment horizontal="center" vertical="center" wrapText="1"/>
    </xf>
    <xf numFmtId="183" fontId="8" fillId="0" borderId="88" xfId="0" applyNumberFormat="1" applyFont="1" applyFill="1" applyBorder="1" applyAlignment="1">
      <alignment horizontal="center" vertical="center" wrapText="1"/>
    </xf>
    <xf numFmtId="183" fontId="8" fillId="0" borderId="89" xfId="0" applyNumberFormat="1" applyFont="1" applyFill="1" applyBorder="1" applyAlignment="1">
      <alignment horizontal="center" vertical="center" wrapText="1"/>
    </xf>
    <xf numFmtId="0" fontId="8" fillId="0" borderId="90" xfId="0" applyFont="1" applyFill="1" applyBorder="1" applyAlignment="1">
      <alignment horizontal="center" vertical="center" wrapText="1"/>
    </xf>
    <xf numFmtId="0" fontId="8" fillId="0" borderId="91" xfId="0" applyFont="1" applyFill="1" applyBorder="1" applyAlignment="1">
      <alignment horizontal="center" vertical="center" wrapText="1"/>
    </xf>
    <xf numFmtId="179" fontId="8" fillId="0" borderId="90" xfId="0" applyNumberFormat="1" applyFont="1" applyFill="1" applyBorder="1" applyAlignment="1">
      <alignment horizontal="center" vertical="center" wrapText="1"/>
    </xf>
    <xf numFmtId="179" fontId="8" fillId="0" borderId="92" xfId="0" applyNumberFormat="1" applyFont="1" applyFill="1" applyBorder="1" applyAlignment="1">
      <alignment horizontal="center" vertical="center" wrapText="1"/>
    </xf>
    <xf numFmtId="179" fontId="8" fillId="0" borderId="91" xfId="0" applyNumberFormat="1" applyFont="1" applyFill="1" applyBorder="1" applyAlignment="1">
      <alignment horizontal="center" vertical="center" wrapText="1"/>
    </xf>
    <xf numFmtId="0" fontId="8" fillId="0" borderId="90" xfId="0" applyFont="1" applyFill="1" applyBorder="1" applyAlignment="1">
      <alignment horizontal="center" vertical="center"/>
    </xf>
    <xf numFmtId="0" fontId="8" fillId="0" borderId="93" xfId="0" applyFont="1" applyFill="1" applyBorder="1" applyAlignment="1">
      <alignment horizontal="center" vertical="center"/>
    </xf>
    <xf numFmtId="0" fontId="8" fillId="0" borderId="94" xfId="0" applyFont="1" applyFill="1" applyBorder="1" applyAlignment="1">
      <alignment horizontal="left" vertical="center" wrapText="1"/>
    </xf>
    <xf numFmtId="0" fontId="8" fillId="0" borderId="95" xfId="0" applyFont="1" applyFill="1" applyBorder="1" applyAlignment="1">
      <alignment horizontal="left" vertical="center"/>
    </xf>
    <xf numFmtId="0" fontId="8" fillId="0" borderId="96" xfId="0" applyFont="1" applyFill="1" applyBorder="1" applyAlignment="1">
      <alignment horizontal="left" vertical="center"/>
    </xf>
    <xf numFmtId="0" fontId="8" fillId="0" borderId="97" xfId="0" applyFont="1" applyFill="1" applyBorder="1" applyAlignment="1">
      <alignment horizontal="left" vertical="center"/>
    </xf>
    <xf numFmtId="0" fontId="8" fillId="0" borderId="98" xfId="0" applyFont="1" applyFill="1" applyBorder="1" applyAlignment="1">
      <alignment horizontal="left" vertical="center"/>
    </xf>
    <xf numFmtId="0" fontId="8" fillId="0" borderId="99" xfId="0" applyFont="1" applyFill="1" applyBorder="1" applyAlignment="1">
      <alignment horizontal="left" vertical="center"/>
    </xf>
    <xf numFmtId="0" fontId="8" fillId="0" borderId="100" xfId="0" applyFont="1" applyFill="1" applyBorder="1" applyAlignment="1">
      <alignment horizontal="center" vertical="center" wrapText="1"/>
    </xf>
    <xf numFmtId="0" fontId="8" fillId="0" borderId="92" xfId="0" applyFont="1" applyFill="1" applyBorder="1" applyAlignment="1">
      <alignment horizontal="center" vertical="center" wrapText="1"/>
    </xf>
    <xf numFmtId="179" fontId="8" fillId="0" borderId="101" xfId="0" applyNumberFormat="1" applyFont="1" applyFill="1" applyBorder="1" applyAlignment="1">
      <alignment vertical="center" textRotation="255" wrapText="1"/>
    </xf>
    <xf numFmtId="179" fontId="8" fillId="0" borderId="102" xfId="0" applyNumberFormat="1" applyFont="1" applyFill="1" applyBorder="1" applyAlignment="1">
      <alignment vertical="center" textRotation="255" wrapText="1"/>
    </xf>
    <xf numFmtId="179" fontId="8" fillId="0" borderId="103" xfId="0" applyNumberFormat="1" applyFont="1" applyFill="1" applyBorder="1" applyAlignment="1">
      <alignment vertical="center" textRotation="255" wrapText="1"/>
    </xf>
    <xf numFmtId="183" fontId="8" fillId="0" borderId="90" xfId="0" applyNumberFormat="1" applyFont="1" applyFill="1" applyBorder="1" applyAlignment="1">
      <alignment horizontal="center" vertical="center" wrapText="1"/>
    </xf>
    <xf numFmtId="183" fontId="8" fillId="0" borderId="92" xfId="0" applyNumberFormat="1" applyFont="1" applyFill="1" applyBorder="1" applyAlignment="1">
      <alignment horizontal="center" vertical="center" wrapText="1"/>
    </xf>
    <xf numFmtId="183" fontId="8" fillId="0" borderId="91" xfId="0" applyNumberFormat="1" applyFont="1" applyFill="1" applyBorder="1" applyAlignment="1">
      <alignment horizontal="center" vertical="center" wrapText="1"/>
    </xf>
    <xf numFmtId="0" fontId="8" fillId="0" borderId="94" xfId="0" applyFont="1" applyFill="1" applyBorder="1" applyAlignment="1">
      <alignment horizontal="center" vertical="center"/>
    </xf>
    <xf numFmtId="0" fontId="8" fillId="0" borderId="104" xfId="0" applyFont="1" applyFill="1" applyBorder="1" applyAlignment="1">
      <alignment horizontal="center" vertical="center"/>
    </xf>
    <xf numFmtId="0" fontId="8" fillId="0" borderId="95" xfId="0" applyFont="1" applyFill="1" applyBorder="1" applyAlignment="1">
      <alignment horizontal="center" vertical="center"/>
    </xf>
    <xf numFmtId="0" fontId="8" fillId="0" borderId="96" xfId="0" applyFont="1" applyFill="1" applyBorder="1" applyAlignment="1">
      <alignment horizontal="center" vertical="center"/>
    </xf>
    <xf numFmtId="0" fontId="8" fillId="0" borderId="105" xfId="0" applyFont="1" applyFill="1" applyBorder="1" applyAlignment="1">
      <alignment horizontal="center" vertical="center"/>
    </xf>
    <xf numFmtId="0" fontId="8" fillId="0" borderId="97" xfId="0" applyFont="1" applyFill="1" applyBorder="1" applyAlignment="1">
      <alignment horizontal="center" vertical="center"/>
    </xf>
    <xf numFmtId="0" fontId="8" fillId="0" borderId="98" xfId="0" applyFont="1" applyFill="1" applyBorder="1" applyAlignment="1">
      <alignment horizontal="center" vertical="center"/>
    </xf>
    <xf numFmtId="0" fontId="8" fillId="0" borderId="106" xfId="0" applyFont="1" applyFill="1" applyBorder="1" applyAlignment="1">
      <alignment horizontal="center" vertical="center"/>
    </xf>
    <xf numFmtId="0" fontId="8" fillId="0" borderId="99" xfId="0" applyFont="1" applyFill="1" applyBorder="1" applyAlignment="1">
      <alignment horizontal="center" vertical="center"/>
    </xf>
    <xf numFmtId="181" fontId="8" fillId="0" borderId="20" xfId="0" applyNumberFormat="1" applyFont="1" applyFill="1" applyBorder="1" applyAlignment="1">
      <alignment horizontal="center" vertical="center" wrapText="1"/>
    </xf>
    <xf numFmtId="182" fontId="8" fillId="0" borderId="107" xfId="0" applyNumberFormat="1" applyFont="1" applyFill="1" applyBorder="1" applyAlignment="1" applyProtection="1">
      <alignment vertical="center"/>
      <protection/>
    </xf>
    <xf numFmtId="182" fontId="8" fillId="0" borderId="75" xfId="0" applyNumberFormat="1" applyFont="1" applyFill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5f5-34-05\&#20581;&#24247;&#12389;&#12367;&#12426;&#29677;\&#32113;&#35336;\H19&#32769;&#20445;&#32113;&#35336;\&#20445;&#20581;&#25152;&#12363;&#12425;&#22577;&#21578;\&#23713;&#23665;&#24066;&#20445;&#20581;&#25152;\H19&#32954;&#65288;&#3000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5f5-34-05\&#20581;&#24247;&#12389;&#12367;&#12426;&#29677;\&#32113;&#35336;\H19&#32769;&#20445;&#32113;&#35336;\&#20445;&#20581;&#25152;&#12363;&#12425;&#22577;&#21578;\&#23713;&#23665;&#24066;&#20445;&#20581;&#25152;\&#12364;&#12435;&#26908;&#35386;%20(version%2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保健所"/>
      <sheetName val="旧岡山市"/>
      <sheetName val="旧御津町"/>
      <sheetName val="旧灘崎町"/>
      <sheetName val="旧建部町"/>
      <sheetName val="旧瀬戸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胃・大腸（男）"/>
      <sheetName val="胃・大腸（女）"/>
      <sheetName val="肺（男）"/>
      <sheetName val="肺（女）"/>
      <sheetName val="子宮"/>
      <sheetName val="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0"/>
  <sheetViews>
    <sheetView tabSelected="1" view="pageBreakPreview" zoomScale="125" zoomScaleSheetLayoutView="125" workbookViewId="0" topLeftCell="A1">
      <pane xSplit="2" ySplit="4" topLeftCell="N245" activePane="bottomRight" state="frozen"/>
      <selection pane="topLeft" activeCell="G82" sqref="G82"/>
      <selection pane="topRight" activeCell="G82" sqref="G82"/>
      <selection pane="bottomLeft" activeCell="G82" sqref="G82"/>
      <selection pane="bottomRight" activeCell="A2" sqref="A2:W250"/>
    </sheetView>
  </sheetViews>
  <sheetFormatPr defaultColWidth="9.00390625" defaultRowHeight="9.75" customHeight="1"/>
  <cols>
    <col min="1" max="1" width="9.75390625" style="2" customWidth="1"/>
    <col min="2" max="2" width="10.625" style="2" customWidth="1"/>
    <col min="3" max="3" width="7.625" style="2" customWidth="1"/>
    <col min="4" max="4" width="6.625" style="2" customWidth="1"/>
    <col min="5" max="5" width="6.125" style="3" customWidth="1"/>
    <col min="6" max="6" width="6.125" style="2" customWidth="1"/>
    <col min="7" max="7" width="4.625" style="3" customWidth="1"/>
    <col min="8" max="8" width="5.625" style="2" customWidth="1"/>
    <col min="9" max="9" width="5.625" style="3" customWidth="1"/>
    <col min="10" max="10" width="6.125" style="2" customWidth="1"/>
    <col min="11" max="11" width="5.625" style="3" customWidth="1"/>
    <col min="12" max="14" width="6.125" style="2" customWidth="1"/>
    <col min="15" max="15" width="7.125" style="2" customWidth="1"/>
    <col min="16" max="16" width="5.625" style="2" customWidth="1"/>
    <col min="17" max="17" width="6.125" style="2" customWidth="1"/>
    <col min="18" max="18" width="5.625" style="4" customWidth="1"/>
    <col min="19" max="19" width="5.625" style="200" customWidth="1"/>
    <col min="20" max="20" width="5.625" style="4" customWidth="1"/>
    <col min="21" max="21" width="5.625" style="3" customWidth="1"/>
    <col min="22" max="22" width="6.125" style="2" customWidth="1"/>
    <col min="23" max="23" width="5.625" style="3" customWidth="1"/>
    <col min="24" max="24" width="12.875" style="2" customWidth="1"/>
    <col min="25" max="25" width="12.625" style="2" customWidth="1"/>
    <col min="26" max="28" width="11.625" style="2" customWidth="1"/>
    <col min="29" max="16384" width="9.00390625" style="2" customWidth="1"/>
  </cols>
  <sheetData>
    <row r="1" spans="1:2" ht="15" customHeight="1" thickBot="1">
      <c r="A1" s="40" t="s">
        <v>95</v>
      </c>
      <c r="B1" s="1"/>
    </row>
    <row r="2" spans="1:23" s="9" customFormat="1" ht="9.75" customHeight="1">
      <c r="A2" s="314"/>
      <c r="B2" s="315"/>
      <c r="C2" s="5"/>
      <c r="D2" s="5"/>
      <c r="E2" s="6"/>
      <c r="F2" s="320" t="s">
        <v>44</v>
      </c>
      <c r="G2" s="321"/>
      <c r="H2" s="321"/>
      <c r="I2" s="308"/>
      <c r="J2" s="307" t="s">
        <v>45</v>
      </c>
      <c r="K2" s="308"/>
      <c r="L2" s="309" t="s">
        <v>46</v>
      </c>
      <c r="M2" s="310"/>
      <c r="N2" s="310"/>
      <c r="O2" s="311"/>
      <c r="P2" s="7"/>
      <c r="Q2" s="8"/>
      <c r="R2" s="304" t="s">
        <v>106</v>
      </c>
      <c r="S2" s="305"/>
      <c r="T2" s="306"/>
      <c r="U2" s="170"/>
      <c r="V2" s="312" t="s">
        <v>0</v>
      </c>
      <c r="W2" s="313"/>
    </row>
    <row r="3" spans="1:23" s="9" customFormat="1" ht="30" customHeight="1">
      <c r="A3" s="316"/>
      <c r="B3" s="317"/>
      <c r="C3" s="10" t="s">
        <v>83</v>
      </c>
      <c r="D3" s="10" t="s">
        <v>47</v>
      </c>
      <c r="E3" s="11" t="s">
        <v>48</v>
      </c>
      <c r="F3" s="12" t="s">
        <v>49</v>
      </c>
      <c r="G3" s="11" t="s">
        <v>50</v>
      </c>
      <c r="H3" s="13" t="s">
        <v>51</v>
      </c>
      <c r="I3" s="14" t="s">
        <v>52</v>
      </c>
      <c r="J3" s="15" t="s">
        <v>49</v>
      </c>
      <c r="K3" s="14" t="s">
        <v>50</v>
      </c>
      <c r="L3" s="15" t="s">
        <v>53</v>
      </c>
      <c r="M3" s="15" t="s">
        <v>54</v>
      </c>
      <c r="N3" s="15" t="s">
        <v>55</v>
      </c>
      <c r="O3" s="15" t="s">
        <v>56</v>
      </c>
      <c r="P3" s="15" t="s">
        <v>57</v>
      </c>
      <c r="Q3" s="16" t="s">
        <v>58</v>
      </c>
      <c r="R3" s="161" t="s">
        <v>59</v>
      </c>
      <c r="S3" s="201" t="s">
        <v>100</v>
      </c>
      <c r="T3" s="162" t="s">
        <v>102</v>
      </c>
      <c r="U3" s="14" t="s">
        <v>60</v>
      </c>
      <c r="V3" s="18" t="s">
        <v>61</v>
      </c>
      <c r="W3" s="19" t="s">
        <v>62</v>
      </c>
    </row>
    <row r="4" spans="1:23" s="9" customFormat="1" ht="9.75" customHeight="1" thickBot="1">
      <c r="A4" s="318"/>
      <c r="B4" s="319"/>
      <c r="C4" s="337" t="s">
        <v>63</v>
      </c>
      <c r="D4" s="97" t="s">
        <v>64</v>
      </c>
      <c r="E4" s="44" t="s">
        <v>65</v>
      </c>
      <c r="F4" s="98" t="s">
        <v>66</v>
      </c>
      <c r="G4" s="99" t="s">
        <v>67</v>
      </c>
      <c r="H4" s="45" t="s">
        <v>68</v>
      </c>
      <c r="I4" s="46" t="s">
        <v>69</v>
      </c>
      <c r="J4" s="45" t="s">
        <v>70</v>
      </c>
      <c r="K4" s="99" t="s">
        <v>71</v>
      </c>
      <c r="L4" s="45"/>
      <c r="M4" s="45" t="s">
        <v>72</v>
      </c>
      <c r="N4" s="45"/>
      <c r="O4" s="45"/>
      <c r="P4" s="45"/>
      <c r="Q4" s="100"/>
      <c r="R4" s="163" t="s">
        <v>73</v>
      </c>
      <c r="S4" s="202" t="s">
        <v>101</v>
      </c>
      <c r="T4" s="164" t="s">
        <v>103</v>
      </c>
      <c r="U4" s="46" t="s">
        <v>74</v>
      </c>
      <c r="V4" s="102" t="s">
        <v>104</v>
      </c>
      <c r="W4" s="103" t="s">
        <v>105</v>
      </c>
    </row>
    <row r="5" spans="1:23" ht="9.75" customHeight="1">
      <c r="A5" s="300" t="s">
        <v>42</v>
      </c>
      <c r="B5" s="118" t="s">
        <v>96</v>
      </c>
      <c r="C5" s="125">
        <f>SUM(C29,C41,C65,C89,C107,C143,C155,C167,C185,C215,C245)</f>
        <v>502626</v>
      </c>
      <c r="D5" s="125">
        <f>SUM(D29,D41,D65,D89,D107,D143,D155,D167,D185,D215,D245)</f>
        <v>197128</v>
      </c>
      <c r="E5" s="126">
        <f aca="true" t="shared" si="0" ref="E5:E79">D5/C5*100</f>
        <v>39.21961856330552</v>
      </c>
      <c r="F5" s="125">
        <f>SUM(F29,F41,F65,F89,F107,F143,F155,F167,F185,F215,F245)</f>
        <v>61812</v>
      </c>
      <c r="G5" s="127">
        <f aca="true" t="shared" si="1" ref="G5:G67">F5/D5*100</f>
        <v>31.356276125157258</v>
      </c>
      <c r="H5" s="125">
        <f aca="true" t="shared" si="2" ref="H5:H80">SUM(L5:Q5)</f>
        <v>2457</v>
      </c>
      <c r="I5" s="128">
        <f aca="true" t="shared" si="3" ref="I5:I80">H5/F5*100</f>
        <v>3.974956319161328</v>
      </c>
      <c r="J5" s="125">
        <f aca="true" t="shared" si="4" ref="J5:J80">SUM(L5:O5)</f>
        <v>1891</v>
      </c>
      <c r="K5" s="128">
        <f aca="true" t="shared" si="5" ref="K5:K68">J5/H5*100</f>
        <v>76.96377696377697</v>
      </c>
      <c r="L5" s="125">
        <f aca="true" t="shared" si="6" ref="L5:Q8">SUM(L29,L41,L65,L89,L107,L143,L155,L167,L185,L215,L245)</f>
        <v>573</v>
      </c>
      <c r="M5" s="125">
        <f t="shared" si="6"/>
        <v>58</v>
      </c>
      <c r="N5" s="125">
        <f t="shared" si="6"/>
        <v>53</v>
      </c>
      <c r="O5" s="125">
        <f t="shared" si="6"/>
        <v>1207</v>
      </c>
      <c r="P5" s="125">
        <f t="shared" si="6"/>
        <v>224</v>
      </c>
      <c r="Q5" s="129">
        <f t="shared" si="6"/>
        <v>342</v>
      </c>
      <c r="R5" s="130">
        <f aca="true" t="shared" si="7" ref="R5:R68">M5/F5*100</f>
        <v>0.09383291270303501</v>
      </c>
      <c r="S5" s="203">
        <f>SUM(S29,S41,S65,S89,S107,S143,S155,S167,S185,S215,S245)</f>
        <v>10</v>
      </c>
      <c r="T5" s="165">
        <f aca="true" t="shared" si="8" ref="T5:T15">S5/F5*100</f>
        <v>0.016178088397075</v>
      </c>
      <c r="U5" s="127">
        <f aca="true" t="shared" si="9" ref="U5:U16">M5/J5*100</f>
        <v>3.0671602326811214</v>
      </c>
      <c r="V5" s="125">
        <f>SUM(V29,V41,V65,V89,V107,V143,V155,V167,V185,V215,V245)</f>
        <v>13420</v>
      </c>
      <c r="W5" s="131">
        <f aca="true" t="shared" si="10" ref="W5:W68">V5/F5*100</f>
        <v>21.71099462887465</v>
      </c>
    </row>
    <row r="6" spans="1:23" ht="9.75" customHeight="1">
      <c r="A6" s="301"/>
      <c r="B6" s="119" t="s">
        <v>99</v>
      </c>
      <c r="C6" s="258"/>
      <c r="D6" s="258"/>
      <c r="E6" s="259"/>
      <c r="F6" s="20">
        <f>SUM(F30,F42,F66,F90,F108,F144,F156,F168,F186,F216,F246)</f>
        <v>4329</v>
      </c>
      <c r="G6" s="270"/>
      <c r="H6" s="20">
        <f t="shared" si="2"/>
        <v>64</v>
      </c>
      <c r="I6" s="22">
        <f t="shared" si="3"/>
        <v>1.4784014784014783</v>
      </c>
      <c r="J6" s="20">
        <f t="shared" si="4"/>
        <v>57</v>
      </c>
      <c r="K6" s="22">
        <f t="shared" si="5"/>
        <v>89.0625</v>
      </c>
      <c r="L6" s="20">
        <f t="shared" si="6"/>
        <v>27</v>
      </c>
      <c r="M6" s="20">
        <f t="shared" si="6"/>
        <v>1</v>
      </c>
      <c r="N6" s="20">
        <f t="shared" si="6"/>
        <v>1</v>
      </c>
      <c r="O6" s="20">
        <f t="shared" si="6"/>
        <v>28</v>
      </c>
      <c r="P6" s="20">
        <f t="shared" si="6"/>
        <v>3</v>
      </c>
      <c r="Q6" s="23">
        <f t="shared" si="6"/>
        <v>4</v>
      </c>
      <c r="R6" s="24">
        <f t="shared" si="7"/>
        <v>0.023100023100023098</v>
      </c>
      <c r="S6" s="204">
        <f>SUM(S30,S42,S66,S90,S108,S144,S156,S168,S186,S216,S246)</f>
        <v>0</v>
      </c>
      <c r="T6" s="166">
        <f t="shared" si="8"/>
        <v>0</v>
      </c>
      <c r="U6" s="21">
        <f t="shared" si="9"/>
        <v>1.7543859649122806</v>
      </c>
      <c r="V6" s="20">
        <f>SUM(V30,V42,V66,V90,V108,V144,V156,V168,V186,V216,V246)</f>
        <v>1224</v>
      </c>
      <c r="W6" s="25">
        <f t="shared" si="10"/>
        <v>28.274428274428274</v>
      </c>
    </row>
    <row r="7" spans="1:23" ht="9.75" customHeight="1">
      <c r="A7" s="301"/>
      <c r="B7" s="119" t="s">
        <v>97</v>
      </c>
      <c r="C7" s="20">
        <f>SUM(C31,C43,C67,C91,C109,C145,C157,C169,C187,C217,C247)</f>
        <v>585408</v>
      </c>
      <c r="D7" s="20">
        <f>SUM(D31,D43,D67,D91,D109,D145,D157,D169,D187,D217,D247)</f>
        <v>349107</v>
      </c>
      <c r="E7" s="132">
        <f t="shared" si="0"/>
        <v>59.6348187930469</v>
      </c>
      <c r="F7" s="20">
        <f>SUM(F31,F43,F67,F91,F109,F145,F157,F169,F187,F217,F247)</f>
        <v>118693</v>
      </c>
      <c r="G7" s="21">
        <f t="shared" si="1"/>
        <v>33.99903181546059</v>
      </c>
      <c r="H7" s="20">
        <f t="shared" si="2"/>
        <v>3312</v>
      </c>
      <c r="I7" s="135">
        <f t="shared" si="3"/>
        <v>2.7903920197484267</v>
      </c>
      <c r="J7" s="133">
        <f t="shared" si="4"/>
        <v>2669</v>
      </c>
      <c r="K7" s="135">
        <f t="shared" si="5"/>
        <v>80.58574879227052</v>
      </c>
      <c r="L7" s="20">
        <f t="shared" si="6"/>
        <v>1070</v>
      </c>
      <c r="M7" s="20">
        <f t="shared" si="6"/>
        <v>39</v>
      </c>
      <c r="N7" s="20">
        <f t="shared" si="6"/>
        <v>77</v>
      </c>
      <c r="O7" s="20">
        <f t="shared" si="6"/>
        <v>1483</v>
      </c>
      <c r="P7" s="20">
        <f t="shared" si="6"/>
        <v>242</v>
      </c>
      <c r="Q7" s="23">
        <f t="shared" si="6"/>
        <v>401</v>
      </c>
      <c r="R7" s="24">
        <f t="shared" si="7"/>
        <v>0.03285787704413908</v>
      </c>
      <c r="S7" s="204">
        <f>SUM(S31,S43,S67,S91,S109,S145,S157,S169,S187,S217,S247)</f>
        <v>6</v>
      </c>
      <c r="T7" s="166">
        <f t="shared" si="8"/>
        <v>0.005055058006790628</v>
      </c>
      <c r="U7" s="21">
        <f t="shared" si="9"/>
        <v>1.4612214312476584</v>
      </c>
      <c r="V7" s="20">
        <f>SUM(V31,V43,V67,V91,V109,V145,V157,V169,V187,V217,V247)</f>
        <v>23839</v>
      </c>
      <c r="W7" s="25">
        <f t="shared" si="10"/>
        <v>20.084587970646965</v>
      </c>
    </row>
    <row r="8" spans="1:23" ht="9.75" customHeight="1">
      <c r="A8" s="301"/>
      <c r="B8" s="120" t="s">
        <v>98</v>
      </c>
      <c r="C8" s="260"/>
      <c r="D8" s="260"/>
      <c r="E8" s="261"/>
      <c r="F8" s="133">
        <f>SUM(F32,F44,F68,F92,F110,F146,F158,F170,F188,F218,F248)</f>
        <v>464</v>
      </c>
      <c r="G8" s="271"/>
      <c r="H8" s="133">
        <f t="shared" si="2"/>
        <v>13</v>
      </c>
      <c r="I8" s="135">
        <f t="shared" si="3"/>
        <v>2.8017241379310347</v>
      </c>
      <c r="J8" s="133">
        <f t="shared" si="4"/>
        <v>11</v>
      </c>
      <c r="K8" s="135">
        <f t="shared" si="5"/>
        <v>84.61538461538461</v>
      </c>
      <c r="L8" s="224">
        <f t="shared" si="6"/>
        <v>4</v>
      </c>
      <c r="M8" s="224">
        <f t="shared" si="6"/>
        <v>2</v>
      </c>
      <c r="N8" s="224">
        <f t="shared" si="6"/>
        <v>0</v>
      </c>
      <c r="O8" s="224">
        <f t="shared" si="6"/>
        <v>5</v>
      </c>
      <c r="P8" s="224">
        <f t="shared" si="6"/>
        <v>0</v>
      </c>
      <c r="Q8" s="225">
        <f t="shared" si="6"/>
        <v>2</v>
      </c>
      <c r="R8" s="136">
        <f t="shared" si="7"/>
        <v>0.43103448275862066</v>
      </c>
      <c r="S8" s="226">
        <f>SUM(S32,S44,S68,S92,S110,S146,S158,S170,S188,S218,S248)</f>
        <v>1</v>
      </c>
      <c r="T8" s="167">
        <f t="shared" si="8"/>
        <v>0.21551724137931033</v>
      </c>
      <c r="U8" s="134">
        <f t="shared" si="9"/>
        <v>18.181818181818183</v>
      </c>
      <c r="V8" s="224">
        <f>SUM(V32,V44,V68,V92,V110,V146,V158,V170,V188,V218,V248)</f>
        <v>195</v>
      </c>
      <c r="W8" s="137">
        <f t="shared" si="10"/>
        <v>42.025862068965516</v>
      </c>
    </row>
    <row r="9" spans="1:23" ht="9.75" customHeight="1">
      <c r="A9" s="302"/>
      <c r="B9" s="228" t="s">
        <v>111</v>
      </c>
      <c r="C9" s="238">
        <f>SUM(C5,C7)</f>
        <v>1088034</v>
      </c>
      <c r="D9" s="238">
        <f>SUM(D5,D7)</f>
        <v>546235</v>
      </c>
      <c r="E9" s="253">
        <f t="shared" si="0"/>
        <v>50.20385392368253</v>
      </c>
      <c r="F9" s="238">
        <f>SUM(F5,F7)</f>
        <v>180505</v>
      </c>
      <c r="G9" s="239">
        <f t="shared" si="1"/>
        <v>33.04530101513085</v>
      </c>
      <c r="H9" s="238">
        <f>SUM(H5,H7)</f>
        <v>5769</v>
      </c>
      <c r="I9" s="240">
        <f t="shared" si="3"/>
        <v>3.196033350876707</v>
      </c>
      <c r="J9" s="238">
        <f t="shared" si="4"/>
        <v>4560</v>
      </c>
      <c r="K9" s="240">
        <f t="shared" si="5"/>
        <v>79.04316172646905</v>
      </c>
      <c r="L9" s="238">
        <f aca="true" t="shared" si="11" ref="L9:Q10">SUM(L5,L7)</f>
        <v>1643</v>
      </c>
      <c r="M9" s="238">
        <f t="shared" si="11"/>
        <v>97</v>
      </c>
      <c r="N9" s="238">
        <f t="shared" si="11"/>
        <v>130</v>
      </c>
      <c r="O9" s="238">
        <f t="shared" si="11"/>
        <v>2690</v>
      </c>
      <c r="P9" s="238">
        <f t="shared" si="11"/>
        <v>466</v>
      </c>
      <c r="Q9" s="238">
        <f t="shared" si="11"/>
        <v>743</v>
      </c>
      <c r="R9" s="242">
        <f t="shared" si="7"/>
        <v>0.053738123597684276</v>
      </c>
      <c r="S9" s="238">
        <f>SUM(S5,S7)</f>
        <v>16</v>
      </c>
      <c r="T9" s="243">
        <f t="shared" si="8"/>
        <v>0.008864020387246891</v>
      </c>
      <c r="U9" s="239">
        <f t="shared" si="9"/>
        <v>2.1271929824561404</v>
      </c>
      <c r="V9" s="238">
        <f>SUM(V5,V7)</f>
        <v>37259</v>
      </c>
      <c r="W9" s="244">
        <f t="shared" si="10"/>
        <v>20.641533475526995</v>
      </c>
    </row>
    <row r="10" spans="1:23" ht="9.75" customHeight="1" thickBot="1">
      <c r="A10" s="303"/>
      <c r="B10" s="229" t="s">
        <v>112</v>
      </c>
      <c r="C10" s="262"/>
      <c r="D10" s="262"/>
      <c r="E10" s="263"/>
      <c r="F10" s="245">
        <f>SUM(F6,F8)</f>
        <v>4793</v>
      </c>
      <c r="G10" s="272"/>
      <c r="H10" s="245">
        <f>SUM(H6,H8)</f>
        <v>77</v>
      </c>
      <c r="I10" s="247">
        <f t="shared" si="3"/>
        <v>1.6065094930106403</v>
      </c>
      <c r="J10" s="245">
        <f t="shared" si="4"/>
        <v>68</v>
      </c>
      <c r="K10" s="247">
        <f t="shared" si="5"/>
        <v>88.31168831168831</v>
      </c>
      <c r="L10" s="245">
        <f t="shared" si="11"/>
        <v>31</v>
      </c>
      <c r="M10" s="245">
        <f t="shared" si="11"/>
        <v>3</v>
      </c>
      <c r="N10" s="245">
        <f t="shared" si="11"/>
        <v>1</v>
      </c>
      <c r="O10" s="245">
        <f t="shared" si="11"/>
        <v>33</v>
      </c>
      <c r="P10" s="245">
        <f t="shared" si="11"/>
        <v>3</v>
      </c>
      <c r="Q10" s="245">
        <f t="shared" si="11"/>
        <v>6</v>
      </c>
      <c r="R10" s="249">
        <f t="shared" si="7"/>
        <v>0.06259127894846651</v>
      </c>
      <c r="S10" s="245">
        <f>SUM(S6,S8)</f>
        <v>1</v>
      </c>
      <c r="T10" s="250">
        <f t="shared" si="8"/>
        <v>0.020863759649488837</v>
      </c>
      <c r="U10" s="246">
        <f t="shared" si="9"/>
        <v>4.411764705882353</v>
      </c>
      <c r="V10" s="245">
        <f>SUM(V6,V8)</f>
        <v>1419</v>
      </c>
      <c r="W10" s="251">
        <f t="shared" si="10"/>
        <v>29.60567494262466</v>
      </c>
    </row>
    <row r="11" spans="1:23" ht="9.75" customHeight="1">
      <c r="A11" s="290" t="s">
        <v>84</v>
      </c>
      <c r="B11" s="41" t="s">
        <v>96</v>
      </c>
      <c r="C11" s="111">
        <v>161589</v>
      </c>
      <c r="D11" s="111">
        <v>66000</v>
      </c>
      <c r="E11" s="121">
        <f t="shared" si="0"/>
        <v>40.844364405992984</v>
      </c>
      <c r="F11" s="122">
        <v>19296</v>
      </c>
      <c r="G11" s="113">
        <f t="shared" si="1"/>
        <v>29.236363636363638</v>
      </c>
      <c r="H11" s="111">
        <f t="shared" si="2"/>
        <v>986</v>
      </c>
      <c r="I11" s="123">
        <f t="shared" si="3"/>
        <v>5.109867330016584</v>
      </c>
      <c r="J11" s="111">
        <f t="shared" si="4"/>
        <v>730</v>
      </c>
      <c r="K11" s="123">
        <f t="shared" si="5"/>
        <v>74.0365111561866</v>
      </c>
      <c r="L11" s="111">
        <v>185</v>
      </c>
      <c r="M11" s="111">
        <v>19</v>
      </c>
      <c r="N11" s="111">
        <v>28</v>
      </c>
      <c r="O11" s="111">
        <v>498</v>
      </c>
      <c r="P11" s="111">
        <v>168</v>
      </c>
      <c r="Q11" s="124">
        <v>88</v>
      </c>
      <c r="R11" s="112">
        <f t="shared" si="7"/>
        <v>0.0984660033167496</v>
      </c>
      <c r="S11" s="205">
        <v>3</v>
      </c>
      <c r="T11" s="112">
        <f t="shared" si="8"/>
        <v>0.01554726368159204</v>
      </c>
      <c r="U11" s="113">
        <f t="shared" si="9"/>
        <v>2.6027397260273974</v>
      </c>
      <c r="V11" s="111">
        <v>5681</v>
      </c>
      <c r="W11" s="114">
        <f t="shared" si="10"/>
        <v>29.441334991708125</v>
      </c>
    </row>
    <row r="12" spans="1:23" ht="9.75" customHeight="1">
      <c r="A12" s="291"/>
      <c r="B12" s="42" t="s">
        <v>99</v>
      </c>
      <c r="C12" s="258"/>
      <c r="D12" s="258"/>
      <c r="E12" s="264"/>
      <c r="F12" s="107">
        <v>902</v>
      </c>
      <c r="G12" s="270"/>
      <c r="H12" s="26">
        <f t="shared" si="2"/>
        <v>14</v>
      </c>
      <c r="I12" s="29">
        <f t="shared" si="3"/>
        <v>1.5521064301552108</v>
      </c>
      <c r="J12" s="26">
        <f t="shared" si="4"/>
        <v>12</v>
      </c>
      <c r="K12" s="29">
        <f t="shared" si="5"/>
        <v>85.71428571428571</v>
      </c>
      <c r="L12" s="26">
        <v>3</v>
      </c>
      <c r="M12" s="26">
        <v>0</v>
      </c>
      <c r="N12" s="26">
        <v>0</v>
      </c>
      <c r="O12" s="26">
        <v>9</v>
      </c>
      <c r="P12" s="26">
        <v>1</v>
      </c>
      <c r="Q12" s="30">
        <v>1</v>
      </c>
      <c r="R12" s="31">
        <f t="shared" si="7"/>
        <v>0</v>
      </c>
      <c r="S12" s="206">
        <v>0</v>
      </c>
      <c r="T12" s="168">
        <f t="shared" si="8"/>
        <v>0</v>
      </c>
      <c r="U12" s="27">
        <f t="shared" si="9"/>
        <v>0</v>
      </c>
      <c r="V12" s="26">
        <v>271</v>
      </c>
      <c r="W12" s="32">
        <f t="shared" si="10"/>
        <v>30.044345898004433</v>
      </c>
    </row>
    <row r="13" spans="1:23" ht="9.75" customHeight="1">
      <c r="A13" s="291"/>
      <c r="B13" s="42" t="s">
        <v>97</v>
      </c>
      <c r="C13" s="26">
        <v>188408</v>
      </c>
      <c r="D13" s="26">
        <v>118000</v>
      </c>
      <c r="E13" s="121">
        <f t="shared" si="0"/>
        <v>62.63003694110654</v>
      </c>
      <c r="F13" s="107">
        <v>39684</v>
      </c>
      <c r="G13" s="27">
        <f t="shared" si="1"/>
        <v>33.630508474576274</v>
      </c>
      <c r="H13" s="26">
        <f t="shared" si="2"/>
        <v>1316</v>
      </c>
      <c r="I13" s="29">
        <f t="shared" si="3"/>
        <v>3.3161979639149277</v>
      </c>
      <c r="J13" s="26">
        <f t="shared" si="4"/>
        <v>1010</v>
      </c>
      <c r="K13" s="29">
        <f t="shared" si="5"/>
        <v>76.74772036474164</v>
      </c>
      <c r="L13" s="26">
        <v>355</v>
      </c>
      <c r="M13" s="26">
        <v>7</v>
      </c>
      <c r="N13" s="26">
        <v>37</v>
      </c>
      <c r="O13" s="26">
        <v>611</v>
      </c>
      <c r="P13" s="26">
        <v>185</v>
      </c>
      <c r="Q13" s="30">
        <v>121</v>
      </c>
      <c r="R13" s="31">
        <f t="shared" si="7"/>
        <v>0.017639350871887914</v>
      </c>
      <c r="S13" s="206">
        <v>0</v>
      </c>
      <c r="T13" s="168">
        <f t="shared" si="8"/>
        <v>0</v>
      </c>
      <c r="U13" s="27">
        <f t="shared" si="9"/>
        <v>0.6930693069306931</v>
      </c>
      <c r="V13" s="26">
        <v>10980</v>
      </c>
      <c r="W13" s="32">
        <f t="shared" si="10"/>
        <v>27.6685817961899</v>
      </c>
    </row>
    <row r="14" spans="1:23" ht="9.75" customHeight="1">
      <c r="A14" s="291"/>
      <c r="B14" s="41" t="s">
        <v>98</v>
      </c>
      <c r="C14" s="260"/>
      <c r="D14" s="260"/>
      <c r="E14" s="265"/>
      <c r="F14" s="108">
        <v>67</v>
      </c>
      <c r="G14" s="271"/>
      <c r="H14" s="105">
        <f t="shared" si="2"/>
        <v>1</v>
      </c>
      <c r="I14" s="106">
        <f t="shared" si="3"/>
        <v>1.4925373134328357</v>
      </c>
      <c r="J14" s="105">
        <f t="shared" si="4"/>
        <v>1</v>
      </c>
      <c r="K14" s="106">
        <f t="shared" si="5"/>
        <v>100</v>
      </c>
      <c r="L14" s="105">
        <v>0</v>
      </c>
      <c r="M14" s="105">
        <v>0</v>
      </c>
      <c r="N14" s="105">
        <v>0</v>
      </c>
      <c r="O14" s="105">
        <v>1</v>
      </c>
      <c r="P14" s="105">
        <v>0</v>
      </c>
      <c r="Q14" s="115">
        <v>0</v>
      </c>
      <c r="R14" s="116">
        <f t="shared" si="7"/>
        <v>0</v>
      </c>
      <c r="S14" s="207">
        <v>0</v>
      </c>
      <c r="T14" s="208">
        <f t="shared" si="8"/>
        <v>0</v>
      </c>
      <c r="U14" s="104">
        <f t="shared" si="9"/>
        <v>0</v>
      </c>
      <c r="V14" s="105">
        <v>31</v>
      </c>
      <c r="W14" s="117">
        <f t="shared" si="10"/>
        <v>46.26865671641791</v>
      </c>
    </row>
    <row r="15" spans="1:23" ht="9.75" customHeight="1">
      <c r="A15" s="291"/>
      <c r="B15" s="209" t="s">
        <v>111</v>
      </c>
      <c r="C15" s="210">
        <f>SUM(C11,C13)</f>
        <v>349997</v>
      </c>
      <c r="D15" s="210">
        <f>SUM(D11,D13)</f>
        <v>184000</v>
      </c>
      <c r="E15" s="211">
        <f t="shared" si="0"/>
        <v>52.5718791875359</v>
      </c>
      <c r="F15" s="210">
        <f>SUM(F11,F13)</f>
        <v>58980</v>
      </c>
      <c r="G15" s="212">
        <f t="shared" si="1"/>
        <v>32.05434782608695</v>
      </c>
      <c r="H15" s="210">
        <f t="shared" si="2"/>
        <v>2302</v>
      </c>
      <c r="I15" s="56">
        <f t="shared" si="3"/>
        <v>3.9030179721939637</v>
      </c>
      <c r="J15" s="210">
        <f t="shared" si="4"/>
        <v>1740</v>
      </c>
      <c r="K15" s="56">
        <f t="shared" si="5"/>
        <v>75.58644656820157</v>
      </c>
      <c r="L15" s="210">
        <f aca="true" t="shared" si="12" ref="L15:Q16">SUM(L11,L13)</f>
        <v>540</v>
      </c>
      <c r="M15" s="210">
        <f t="shared" si="12"/>
        <v>26</v>
      </c>
      <c r="N15" s="210">
        <f t="shared" si="12"/>
        <v>65</v>
      </c>
      <c r="O15" s="210">
        <f t="shared" si="12"/>
        <v>1109</v>
      </c>
      <c r="P15" s="210">
        <f t="shared" si="12"/>
        <v>353</v>
      </c>
      <c r="Q15" s="213">
        <f t="shared" si="12"/>
        <v>209</v>
      </c>
      <c r="R15" s="214">
        <f t="shared" si="7"/>
        <v>0.04408273991183452</v>
      </c>
      <c r="S15" s="210">
        <f>SUM(S11,S13)</f>
        <v>3</v>
      </c>
      <c r="T15" s="216">
        <f t="shared" si="8"/>
        <v>0.00508646998982706</v>
      </c>
      <c r="U15" s="212">
        <f t="shared" si="9"/>
        <v>1.4942528735632183</v>
      </c>
      <c r="V15" s="210">
        <f>SUM(V11,V13)</f>
        <v>16661</v>
      </c>
      <c r="W15" s="227">
        <f t="shared" si="10"/>
        <v>28.248558833502884</v>
      </c>
    </row>
    <row r="16" spans="1:23" ht="9.75" customHeight="1">
      <c r="A16" s="291"/>
      <c r="B16" s="217" t="s">
        <v>112</v>
      </c>
      <c r="C16" s="266"/>
      <c r="D16" s="266"/>
      <c r="E16" s="267"/>
      <c r="F16" s="218">
        <f>SUM(F12,F14)</f>
        <v>969</v>
      </c>
      <c r="G16" s="273"/>
      <c r="H16" s="218">
        <f t="shared" si="2"/>
        <v>15</v>
      </c>
      <c r="I16" s="220">
        <f t="shared" si="3"/>
        <v>1.5479876160990713</v>
      </c>
      <c r="J16" s="218">
        <f t="shared" si="4"/>
        <v>13</v>
      </c>
      <c r="K16" s="220">
        <f t="shared" si="5"/>
        <v>86.66666666666667</v>
      </c>
      <c r="L16" s="218">
        <f t="shared" si="12"/>
        <v>3</v>
      </c>
      <c r="M16" s="218">
        <f t="shared" si="12"/>
        <v>0</v>
      </c>
      <c r="N16" s="218">
        <f t="shared" si="12"/>
        <v>0</v>
      </c>
      <c r="O16" s="218">
        <f t="shared" si="12"/>
        <v>10</v>
      </c>
      <c r="P16" s="218">
        <f t="shared" si="12"/>
        <v>1</v>
      </c>
      <c r="Q16" s="221">
        <f t="shared" si="12"/>
        <v>1</v>
      </c>
      <c r="R16" s="222">
        <f t="shared" si="7"/>
        <v>0</v>
      </c>
      <c r="S16" s="218">
        <f>SUM(S12,S14)</f>
        <v>0</v>
      </c>
      <c r="T16" s="169">
        <f>S16/F16</f>
        <v>0</v>
      </c>
      <c r="U16" s="219">
        <f t="shared" si="9"/>
        <v>0</v>
      </c>
      <c r="V16" s="218">
        <f>SUM(V12,V14)</f>
        <v>302</v>
      </c>
      <c r="W16" s="338">
        <f t="shared" si="10"/>
        <v>31.166150670794636</v>
      </c>
    </row>
    <row r="17" spans="1:23" ht="9.75" customHeight="1">
      <c r="A17" s="291" t="s">
        <v>85</v>
      </c>
      <c r="B17" s="41" t="s">
        <v>96</v>
      </c>
      <c r="C17" s="111">
        <v>2281</v>
      </c>
      <c r="D17" s="111">
        <v>655</v>
      </c>
      <c r="E17" s="121">
        <f t="shared" si="0"/>
        <v>28.71547566856642</v>
      </c>
      <c r="F17" s="122">
        <v>349</v>
      </c>
      <c r="G17" s="113">
        <f t="shared" si="1"/>
        <v>53.282442748091604</v>
      </c>
      <c r="H17" s="111">
        <f t="shared" si="2"/>
        <v>11</v>
      </c>
      <c r="I17" s="123">
        <f t="shared" si="3"/>
        <v>3.151862464183381</v>
      </c>
      <c r="J17" s="111">
        <f t="shared" si="4"/>
        <v>9</v>
      </c>
      <c r="K17" s="123">
        <f t="shared" si="5"/>
        <v>81.81818181818183</v>
      </c>
      <c r="L17" s="111">
        <v>4</v>
      </c>
      <c r="M17" s="111">
        <v>0</v>
      </c>
      <c r="N17" s="111">
        <v>0</v>
      </c>
      <c r="O17" s="111">
        <v>5</v>
      </c>
      <c r="P17" s="111">
        <v>0</v>
      </c>
      <c r="Q17" s="124">
        <v>2</v>
      </c>
      <c r="R17" s="112">
        <f t="shared" si="7"/>
        <v>0</v>
      </c>
      <c r="S17" s="205">
        <v>0</v>
      </c>
      <c r="T17" s="112">
        <f>S17/F17*100</f>
        <v>0</v>
      </c>
      <c r="U17" s="113">
        <f aca="true" t="shared" si="13" ref="U17:U80">M17/J17*100</f>
        <v>0</v>
      </c>
      <c r="V17" s="111">
        <v>72</v>
      </c>
      <c r="W17" s="114">
        <f t="shared" si="10"/>
        <v>20.630372492836678</v>
      </c>
    </row>
    <row r="18" spans="1:23" ht="9.75" customHeight="1">
      <c r="A18" s="291"/>
      <c r="B18" s="42" t="s">
        <v>99</v>
      </c>
      <c r="C18" s="258"/>
      <c r="D18" s="258"/>
      <c r="E18" s="264"/>
      <c r="F18" s="107">
        <v>39</v>
      </c>
      <c r="G18" s="270"/>
      <c r="H18" s="26">
        <f t="shared" si="2"/>
        <v>0</v>
      </c>
      <c r="I18" s="29">
        <f t="shared" si="3"/>
        <v>0</v>
      </c>
      <c r="J18" s="26">
        <f t="shared" si="4"/>
        <v>0</v>
      </c>
      <c r="K18" s="29" t="e">
        <f t="shared" si="5"/>
        <v>#DIV/0!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30">
        <v>0</v>
      </c>
      <c r="R18" s="31">
        <f t="shared" si="7"/>
        <v>0</v>
      </c>
      <c r="S18" s="206">
        <v>0</v>
      </c>
      <c r="T18" s="168">
        <f>S18/F18*100</f>
        <v>0</v>
      </c>
      <c r="U18" s="27" t="e">
        <f t="shared" si="13"/>
        <v>#DIV/0!</v>
      </c>
      <c r="V18" s="26">
        <v>10</v>
      </c>
      <c r="W18" s="32">
        <f t="shared" si="10"/>
        <v>25.64102564102564</v>
      </c>
    </row>
    <row r="19" spans="1:23" ht="9.75" customHeight="1">
      <c r="A19" s="291"/>
      <c r="B19" s="42" t="s">
        <v>97</v>
      </c>
      <c r="C19" s="26">
        <v>2919</v>
      </c>
      <c r="D19" s="26">
        <v>1332</v>
      </c>
      <c r="E19" s="121">
        <f t="shared" si="0"/>
        <v>45.63206577595067</v>
      </c>
      <c r="F19" s="107">
        <v>707</v>
      </c>
      <c r="G19" s="27">
        <f t="shared" si="1"/>
        <v>53.07807807807807</v>
      </c>
      <c r="H19" s="26">
        <f t="shared" si="2"/>
        <v>13</v>
      </c>
      <c r="I19" s="29">
        <f t="shared" si="3"/>
        <v>1.8387553041018387</v>
      </c>
      <c r="J19" s="26">
        <f t="shared" si="4"/>
        <v>10</v>
      </c>
      <c r="K19" s="29">
        <f t="shared" si="5"/>
        <v>76.92307692307693</v>
      </c>
      <c r="L19" s="26">
        <v>5</v>
      </c>
      <c r="M19" s="26">
        <v>0</v>
      </c>
      <c r="N19" s="26">
        <v>0</v>
      </c>
      <c r="O19" s="26">
        <v>5</v>
      </c>
      <c r="P19" s="26">
        <v>0</v>
      </c>
      <c r="Q19" s="30">
        <v>3</v>
      </c>
      <c r="R19" s="31">
        <f t="shared" si="7"/>
        <v>0</v>
      </c>
      <c r="S19" s="206">
        <v>0</v>
      </c>
      <c r="T19" s="168">
        <f>S19/F19*100</f>
        <v>0</v>
      </c>
      <c r="U19" s="27">
        <f t="shared" si="13"/>
        <v>0</v>
      </c>
      <c r="V19" s="26">
        <v>137</v>
      </c>
      <c r="W19" s="32">
        <f t="shared" si="10"/>
        <v>19.377652050919377</v>
      </c>
    </row>
    <row r="20" spans="1:23" ht="9.75" customHeight="1">
      <c r="A20" s="291"/>
      <c r="B20" s="43" t="s">
        <v>98</v>
      </c>
      <c r="C20" s="260"/>
      <c r="D20" s="260"/>
      <c r="E20" s="265"/>
      <c r="F20" s="108">
        <v>0</v>
      </c>
      <c r="G20" s="271"/>
      <c r="H20" s="105">
        <f t="shared" si="2"/>
        <v>0</v>
      </c>
      <c r="I20" s="106" t="e">
        <f t="shared" si="3"/>
        <v>#DIV/0!</v>
      </c>
      <c r="J20" s="105">
        <f t="shared" si="4"/>
        <v>0</v>
      </c>
      <c r="K20" s="106" t="e">
        <f t="shared" si="5"/>
        <v>#DIV/0!</v>
      </c>
      <c r="L20" s="105">
        <v>0</v>
      </c>
      <c r="M20" s="105">
        <v>0</v>
      </c>
      <c r="N20" s="105">
        <v>0</v>
      </c>
      <c r="O20" s="105">
        <v>0</v>
      </c>
      <c r="P20" s="105">
        <v>0</v>
      </c>
      <c r="Q20" s="115">
        <v>0</v>
      </c>
      <c r="R20" s="116" t="e">
        <f t="shared" si="7"/>
        <v>#DIV/0!</v>
      </c>
      <c r="S20" s="207">
        <v>0</v>
      </c>
      <c r="T20" s="208" t="e">
        <f>S20/F20*100</f>
        <v>#DIV/0!</v>
      </c>
      <c r="U20" s="104" t="e">
        <f t="shared" si="13"/>
        <v>#DIV/0!</v>
      </c>
      <c r="V20" s="105">
        <v>0</v>
      </c>
      <c r="W20" s="117" t="e">
        <f t="shared" si="10"/>
        <v>#DIV/0!</v>
      </c>
    </row>
    <row r="21" spans="1:23" ht="9.75" customHeight="1">
      <c r="A21" s="291"/>
      <c r="B21" s="209" t="s">
        <v>111</v>
      </c>
      <c r="C21" s="210">
        <f>SUM(C17,C19)</f>
        <v>5200</v>
      </c>
      <c r="D21" s="210">
        <f>SUM(D17,D19)</f>
        <v>1987</v>
      </c>
      <c r="E21" s="211">
        <f t="shared" si="0"/>
        <v>38.21153846153847</v>
      </c>
      <c r="F21" s="210">
        <f>SUM(F17,F19)</f>
        <v>1056</v>
      </c>
      <c r="G21" s="212">
        <f t="shared" si="1"/>
        <v>53.14544539506794</v>
      </c>
      <c r="H21" s="210">
        <f t="shared" si="2"/>
        <v>24</v>
      </c>
      <c r="I21" s="56">
        <f t="shared" si="3"/>
        <v>2.272727272727273</v>
      </c>
      <c r="J21" s="210">
        <f t="shared" si="4"/>
        <v>19</v>
      </c>
      <c r="K21" s="56">
        <f t="shared" si="5"/>
        <v>79.16666666666666</v>
      </c>
      <c r="L21" s="210">
        <f aca="true" t="shared" si="14" ref="L21:Q22">SUM(L17,L19)</f>
        <v>9</v>
      </c>
      <c r="M21" s="210">
        <f t="shared" si="14"/>
        <v>0</v>
      </c>
      <c r="N21" s="210">
        <f t="shared" si="14"/>
        <v>0</v>
      </c>
      <c r="O21" s="210">
        <f t="shared" si="14"/>
        <v>10</v>
      </c>
      <c r="P21" s="210">
        <f t="shared" si="14"/>
        <v>0</v>
      </c>
      <c r="Q21" s="213">
        <f t="shared" si="14"/>
        <v>5</v>
      </c>
      <c r="R21" s="214">
        <f t="shared" si="7"/>
        <v>0</v>
      </c>
      <c r="S21" s="210">
        <f>SUM(S17,S19)</f>
        <v>0</v>
      </c>
      <c r="T21" s="216">
        <f>S21/F21*100</f>
        <v>0</v>
      </c>
      <c r="U21" s="212">
        <f t="shared" si="13"/>
        <v>0</v>
      </c>
      <c r="V21" s="210">
        <f>SUM(V17,V19)</f>
        <v>209</v>
      </c>
      <c r="W21" s="227">
        <f t="shared" si="10"/>
        <v>19.791666666666664</v>
      </c>
    </row>
    <row r="22" spans="1:23" ht="9.75" customHeight="1">
      <c r="A22" s="291"/>
      <c r="B22" s="217" t="s">
        <v>112</v>
      </c>
      <c r="C22" s="266"/>
      <c r="D22" s="266"/>
      <c r="E22" s="268"/>
      <c r="F22" s="218">
        <f>SUM(F18,F20)</f>
        <v>39</v>
      </c>
      <c r="G22" s="273"/>
      <c r="H22" s="218">
        <f t="shared" si="2"/>
        <v>0</v>
      </c>
      <c r="I22" s="220">
        <f t="shared" si="3"/>
        <v>0</v>
      </c>
      <c r="J22" s="218">
        <f t="shared" si="4"/>
        <v>0</v>
      </c>
      <c r="K22" s="220" t="e">
        <f t="shared" si="5"/>
        <v>#DIV/0!</v>
      </c>
      <c r="L22" s="218">
        <f t="shared" si="14"/>
        <v>0</v>
      </c>
      <c r="M22" s="218">
        <f t="shared" si="14"/>
        <v>0</v>
      </c>
      <c r="N22" s="218">
        <f t="shared" si="14"/>
        <v>0</v>
      </c>
      <c r="O22" s="218">
        <f t="shared" si="14"/>
        <v>0</v>
      </c>
      <c r="P22" s="218">
        <f t="shared" si="14"/>
        <v>0</v>
      </c>
      <c r="Q22" s="221">
        <f t="shared" si="14"/>
        <v>0</v>
      </c>
      <c r="R22" s="222">
        <f t="shared" si="7"/>
        <v>0</v>
      </c>
      <c r="S22" s="218">
        <f>SUM(S18,S20)</f>
        <v>0</v>
      </c>
      <c r="T22" s="169">
        <f>S22/F22</f>
        <v>0</v>
      </c>
      <c r="U22" s="219" t="e">
        <f t="shared" si="13"/>
        <v>#DIV/0!</v>
      </c>
      <c r="V22" s="218">
        <f>SUM(V18,V20)</f>
        <v>10</v>
      </c>
      <c r="W22" s="338">
        <f t="shared" si="10"/>
        <v>25.64102564102564</v>
      </c>
    </row>
    <row r="23" spans="1:23" ht="9.75" customHeight="1">
      <c r="A23" s="291" t="s">
        <v>86</v>
      </c>
      <c r="B23" s="41" t="s">
        <v>96</v>
      </c>
      <c r="C23" s="111">
        <v>2026</v>
      </c>
      <c r="D23" s="111">
        <v>664</v>
      </c>
      <c r="E23" s="121">
        <f t="shared" si="0"/>
        <v>32.77393879565646</v>
      </c>
      <c r="F23" s="122">
        <v>350</v>
      </c>
      <c r="G23" s="113">
        <f t="shared" si="1"/>
        <v>52.71084337349398</v>
      </c>
      <c r="H23" s="111">
        <f t="shared" si="2"/>
        <v>14</v>
      </c>
      <c r="I23" s="123">
        <f t="shared" si="3"/>
        <v>4</v>
      </c>
      <c r="J23" s="111">
        <f t="shared" si="4"/>
        <v>11</v>
      </c>
      <c r="K23" s="123">
        <f t="shared" si="5"/>
        <v>78.57142857142857</v>
      </c>
      <c r="L23" s="111">
        <v>5</v>
      </c>
      <c r="M23" s="111">
        <v>0</v>
      </c>
      <c r="N23" s="111">
        <v>0</v>
      </c>
      <c r="O23" s="111">
        <v>6</v>
      </c>
      <c r="P23" s="111">
        <v>0</v>
      </c>
      <c r="Q23" s="124">
        <v>3</v>
      </c>
      <c r="R23" s="112">
        <f t="shared" si="7"/>
        <v>0</v>
      </c>
      <c r="S23" s="205">
        <v>0</v>
      </c>
      <c r="T23" s="112">
        <f>S23/F23*100</f>
        <v>0</v>
      </c>
      <c r="U23" s="113">
        <f t="shared" si="13"/>
        <v>0</v>
      </c>
      <c r="V23" s="111">
        <v>81</v>
      </c>
      <c r="W23" s="114">
        <f t="shared" si="10"/>
        <v>23.142857142857142</v>
      </c>
    </row>
    <row r="24" spans="1:23" ht="9.75" customHeight="1">
      <c r="A24" s="291"/>
      <c r="B24" s="42" t="s">
        <v>99</v>
      </c>
      <c r="C24" s="258"/>
      <c r="D24" s="258"/>
      <c r="E24" s="264"/>
      <c r="F24" s="107">
        <v>33</v>
      </c>
      <c r="G24" s="270"/>
      <c r="H24" s="26">
        <f t="shared" si="2"/>
        <v>0</v>
      </c>
      <c r="I24" s="29">
        <f t="shared" si="3"/>
        <v>0</v>
      </c>
      <c r="J24" s="26">
        <f t="shared" si="4"/>
        <v>0</v>
      </c>
      <c r="K24" s="29" t="e">
        <f t="shared" si="5"/>
        <v>#DIV/0!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30">
        <v>0</v>
      </c>
      <c r="R24" s="31">
        <f t="shared" si="7"/>
        <v>0</v>
      </c>
      <c r="S24" s="206">
        <v>0</v>
      </c>
      <c r="T24" s="168">
        <f>S24/F24*100</f>
        <v>0</v>
      </c>
      <c r="U24" s="27" t="e">
        <f t="shared" si="13"/>
        <v>#DIV/0!</v>
      </c>
      <c r="V24" s="26">
        <v>12</v>
      </c>
      <c r="W24" s="32">
        <f t="shared" si="10"/>
        <v>36.36363636363637</v>
      </c>
    </row>
    <row r="25" spans="1:23" ht="9.75" customHeight="1">
      <c r="A25" s="291"/>
      <c r="B25" s="42" t="s">
        <v>97</v>
      </c>
      <c r="C25" s="26">
        <v>2453</v>
      </c>
      <c r="D25" s="26">
        <v>1080</v>
      </c>
      <c r="E25" s="121">
        <f t="shared" si="0"/>
        <v>44.027721157766</v>
      </c>
      <c r="F25" s="107">
        <v>569</v>
      </c>
      <c r="G25" s="27">
        <f t="shared" si="1"/>
        <v>52.68518518518519</v>
      </c>
      <c r="H25" s="26">
        <f t="shared" si="2"/>
        <v>10</v>
      </c>
      <c r="I25" s="29">
        <f t="shared" si="3"/>
        <v>1.7574692442882252</v>
      </c>
      <c r="J25" s="26">
        <f t="shared" si="4"/>
        <v>9</v>
      </c>
      <c r="K25" s="29">
        <f t="shared" si="5"/>
        <v>90</v>
      </c>
      <c r="L25" s="26">
        <v>4</v>
      </c>
      <c r="M25" s="26">
        <v>0</v>
      </c>
      <c r="N25" s="26">
        <v>0</v>
      </c>
      <c r="O25" s="26">
        <v>5</v>
      </c>
      <c r="P25" s="26">
        <v>0</v>
      </c>
      <c r="Q25" s="30">
        <v>1</v>
      </c>
      <c r="R25" s="31">
        <f t="shared" si="7"/>
        <v>0</v>
      </c>
      <c r="S25" s="206">
        <v>0</v>
      </c>
      <c r="T25" s="168">
        <f>S25/F25*100</f>
        <v>0</v>
      </c>
      <c r="U25" s="27">
        <f t="shared" si="13"/>
        <v>0</v>
      </c>
      <c r="V25" s="26">
        <v>108</v>
      </c>
      <c r="W25" s="32">
        <f t="shared" si="10"/>
        <v>18.98066783831283</v>
      </c>
    </row>
    <row r="26" spans="1:23" ht="9.75" customHeight="1">
      <c r="A26" s="291"/>
      <c r="B26" s="43" t="s">
        <v>98</v>
      </c>
      <c r="C26" s="260"/>
      <c r="D26" s="260"/>
      <c r="E26" s="265"/>
      <c r="F26" s="108">
        <v>1</v>
      </c>
      <c r="G26" s="271"/>
      <c r="H26" s="105">
        <f t="shared" si="2"/>
        <v>0</v>
      </c>
      <c r="I26" s="106">
        <f t="shared" si="3"/>
        <v>0</v>
      </c>
      <c r="J26" s="105">
        <f t="shared" si="4"/>
        <v>0</v>
      </c>
      <c r="K26" s="106" t="e">
        <f t="shared" si="5"/>
        <v>#DIV/0!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15">
        <v>0</v>
      </c>
      <c r="R26" s="116">
        <f t="shared" si="7"/>
        <v>0</v>
      </c>
      <c r="S26" s="207">
        <v>0</v>
      </c>
      <c r="T26" s="208">
        <f>S26/F26*100</f>
        <v>0</v>
      </c>
      <c r="U26" s="104" t="e">
        <f t="shared" si="13"/>
        <v>#DIV/0!</v>
      </c>
      <c r="V26" s="105">
        <v>0</v>
      </c>
      <c r="W26" s="117">
        <f t="shared" si="10"/>
        <v>0</v>
      </c>
    </row>
    <row r="27" spans="1:23" ht="9.75" customHeight="1">
      <c r="A27" s="291"/>
      <c r="B27" s="209" t="s">
        <v>111</v>
      </c>
      <c r="C27" s="210">
        <f>SUM(C23,C25)</f>
        <v>4479</v>
      </c>
      <c r="D27" s="210">
        <f>SUM(D23,D25)</f>
        <v>1744</v>
      </c>
      <c r="E27" s="211">
        <f t="shared" si="0"/>
        <v>38.93726278187095</v>
      </c>
      <c r="F27" s="210">
        <f>SUM(F23,F25)</f>
        <v>919</v>
      </c>
      <c r="G27" s="212">
        <f t="shared" si="1"/>
        <v>52.694954128440365</v>
      </c>
      <c r="H27" s="210">
        <f t="shared" si="2"/>
        <v>24</v>
      </c>
      <c r="I27" s="56">
        <f t="shared" si="3"/>
        <v>2.6115342763873777</v>
      </c>
      <c r="J27" s="210">
        <f t="shared" si="4"/>
        <v>20</v>
      </c>
      <c r="K27" s="56">
        <f t="shared" si="5"/>
        <v>83.33333333333334</v>
      </c>
      <c r="L27" s="210">
        <f aca="true" t="shared" si="15" ref="L27:Q28">SUM(L23,L25)</f>
        <v>9</v>
      </c>
      <c r="M27" s="210">
        <f t="shared" si="15"/>
        <v>0</v>
      </c>
      <c r="N27" s="210">
        <f t="shared" si="15"/>
        <v>0</v>
      </c>
      <c r="O27" s="210">
        <f t="shared" si="15"/>
        <v>11</v>
      </c>
      <c r="P27" s="210">
        <f t="shared" si="15"/>
        <v>0</v>
      </c>
      <c r="Q27" s="213">
        <f t="shared" si="15"/>
        <v>4</v>
      </c>
      <c r="R27" s="214">
        <f t="shared" si="7"/>
        <v>0</v>
      </c>
      <c r="S27" s="210">
        <f>SUM(S23,S25)</f>
        <v>0</v>
      </c>
      <c r="T27" s="216">
        <f>S27/F27*100</f>
        <v>0</v>
      </c>
      <c r="U27" s="212">
        <f t="shared" si="13"/>
        <v>0</v>
      </c>
      <c r="V27" s="210">
        <f>SUM(V23,V25)</f>
        <v>189</v>
      </c>
      <c r="W27" s="227">
        <f t="shared" si="10"/>
        <v>20.5658324265506</v>
      </c>
    </row>
    <row r="28" spans="1:23" ht="9.75" customHeight="1" thickBot="1">
      <c r="A28" s="292"/>
      <c r="B28" s="230" t="s">
        <v>112</v>
      </c>
      <c r="C28" s="232"/>
      <c r="D28" s="232"/>
      <c r="E28" s="254"/>
      <c r="F28" s="232">
        <f>SUM(F24,F26)</f>
        <v>34</v>
      </c>
      <c r="G28" s="272"/>
      <c r="H28" s="232">
        <f t="shared" si="2"/>
        <v>0</v>
      </c>
      <c r="I28" s="93">
        <f t="shared" si="3"/>
        <v>0</v>
      </c>
      <c r="J28" s="232">
        <f t="shared" si="4"/>
        <v>0</v>
      </c>
      <c r="K28" s="93" t="e">
        <f t="shared" si="5"/>
        <v>#DIV/0!</v>
      </c>
      <c r="L28" s="232">
        <f t="shared" si="15"/>
        <v>0</v>
      </c>
      <c r="M28" s="232">
        <f t="shared" si="15"/>
        <v>0</v>
      </c>
      <c r="N28" s="232">
        <f t="shared" si="15"/>
        <v>0</v>
      </c>
      <c r="O28" s="232">
        <f t="shared" si="15"/>
        <v>0</v>
      </c>
      <c r="P28" s="232">
        <f t="shared" si="15"/>
        <v>0</v>
      </c>
      <c r="Q28" s="234">
        <f t="shared" si="15"/>
        <v>0</v>
      </c>
      <c r="R28" s="235">
        <f t="shared" si="7"/>
        <v>0</v>
      </c>
      <c r="S28" s="232">
        <f>SUM(S24,S26)</f>
        <v>0</v>
      </c>
      <c r="T28" s="236">
        <f>S28/F28</f>
        <v>0</v>
      </c>
      <c r="U28" s="233" t="e">
        <f t="shared" si="13"/>
        <v>#DIV/0!</v>
      </c>
      <c r="V28" s="232">
        <f>SUM(V24,V26)</f>
        <v>12</v>
      </c>
      <c r="W28" s="339">
        <f t="shared" si="10"/>
        <v>35.294117647058826</v>
      </c>
    </row>
    <row r="29" spans="1:23" ht="9.75" customHeight="1">
      <c r="A29" s="293" t="s">
        <v>32</v>
      </c>
      <c r="B29" s="118" t="s">
        <v>96</v>
      </c>
      <c r="C29" s="125">
        <f>SUM(C11,C17,C23)</f>
        <v>165896</v>
      </c>
      <c r="D29" s="125">
        <f>SUM(D11,D17,D23)</f>
        <v>67319</v>
      </c>
      <c r="E29" s="126">
        <f t="shared" si="0"/>
        <v>40.57903746925785</v>
      </c>
      <c r="F29" s="125">
        <f>SUM(F11,F17,F23)</f>
        <v>19995</v>
      </c>
      <c r="G29" s="127">
        <f t="shared" si="1"/>
        <v>29.701867229162644</v>
      </c>
      <c r="H29" s="125">
        <f>SUM(L29:Q29)</f>
        <v>1011</v>
      </c>
      <c r="I29" s="128">
        <f t="shared" si="3"/>
        <v>5.056264066016504</v>
      </c>
      <c r="J29" s="125">
        <f t="shared" si="4"/>
        <v>750</v>
      </c>
      <c r="K29" s="128">
        <f t="shared" si="5"/>
        <v>74.1839762611276</v>
      </c>
      <c r="L29" s="125">
        <f aca="true" t="shared" si="16" ref="L29:Q32">SUM(L11,L17,L23)</f>
        <v>194</v>
      </c>
      <c r="M29" s="125">
        <f t="shared" si="16"/>
        <v>19</v>
      </c>
      <c r="N29" s="125">
        <f t="shared" si="16"/>
        <v>28</v>
      </c>
      <c r="O29" s="125">
        <f t="shared" si="16"/>
        <v>509</v>
      </c>
      <c r="P29" s="125">
        <f t="shared" si="16"/>
        <v>168</v>
      </c>
      <c r="Q29" s="129">
        <f t="shared" si="16"/>
        <v>93</v>
      </c>
      <c r="R29" s="130">
        <f t="shared" si="7"/>
        <v>0.09502375593898474</v>
      </c>
      <c r="S29" s="125">
        <f>SUM(S11,S17,S23)</f>
        <v>3</v>
      </c>
      <c r="T29" s="130">
        <f>S29/F29*100</f>
        <v>0.015003750937734435</v>
      </c>
      <c r="U29" s="127">
        <f t="shared" si="13"/>
        <v>2.533333333333333</v>
      </c>
      <c r="V29" s="125">
        <f>SUM(V11,V17,V23)</f>
        <v>5834</v>
      </c>
      <c r="W29" s="131">
        <f t="shared" si="10"/>
        <v>29.177294323580895</v>
      </c>
    </row>
    <row r="30" spans="1:23" ht="9.75" customHeight="1">
      <c r="A30" s="294"/>
      <c r="B30" s="119" t="s">
        <v>99</v>
      </c>
      <c r="C30" s="258"/>
      <c r="D30" s="258"/>
      <c r="E30" s="264"/>
      <c r="F30" s="20">
        <f>SUM(F12,F18,F24)</f>
        <v>974</v>
      </c>
      <c r="G30" s="270"/>
      <c r="H30" s="20">
        <f t="shared" si="2"/>
        <v>14</v>
      </c>
      <c r="I30" s="22">
        <f t="shared" si="3"/>
        <v>1.4373716632443532</v>
      </c>
      <c r="J30" s="20">
        <f t="shared" si="4"/>
        <v>12</v>
      </c>
      <c r="K30" s="22">
        <f t="shared" si="5"/>
        <v>85.71428571428571</v>
      </c>
      <c r="L30" s="20">
        <f t="shared" si="16"/>
        <v>3</v>
      </c>
      <c r="M30" s="20">
        <f t="shared" si="16"/>
        <v>0</v>
      </c>
      <c r="N30" s="20">
        <f t="shared" si="16"/>
        <v>0</v>
      </c>
      <c r="O30" s="20">
        <f t="shared" si="16"/>
        <v>9</v>
      </c>
      <c r="P30" s="20">
        <f t="shared" si="16"/>
        <v>1</v>
      </c>
      <c r="Q30" s="23">
        <f t="shared" si="16"/>
        <v>1</v>
      </c>
      <c r="R30" s="24">
        <f t="shared" si="7"/>
        <v>0</v>
      </c>
      <c r="S30" s="20">
        <f>SUM(S12,S18,S24)</f>
        <v>0</v>
      </c>
      <c r="T30" s="166">
        <f>S30/F30*100</f>
        <v>0</v>
      </c>
      <c r="U30" s="21">
        <f t="shared" si="13"/>
        <v>0</v>
      </c>
      <c r="V30" s="20">
        <f>SUM(V12,V18,V24)</f>
        <v>293</v>
      </c>
      <c r="W30" s="25">
        <f t="shared" si="10"/>
        <v>30.082135523613964</v>
      </c>
    </row>
    <row r="31" spans="1:23" ht="9.75" customHeight="1">
      <c r="A31" s="294"/>
      <c r="B31" s="119" t="s">
        <v>97</v>
      </c>
      <c r="C31" s="20">
        <f>SUM(C13,C19,C25)</f>
        <v>193780</v>
      </c>
      <c r="D31" s="20">
        <f>SUM(D13,D19,D25)</f>
        <v>120412</v>
      </c>
      <c r="E31" s="237">
        <f t="shared" si="0"/>
        <v>62.13850758592218</v>
      </c>
      <c r="F31" s="20">
        <f>SUM(F13,F19,F25)</f>
        <v>40960</v>
      </c>
      <c r="G31" s="21">
        <f t="shared" si="1"/>
        <v>34.01654320167425</v>
      </c>
      <c r="H31" s="20">
        <f t="shared" si="2"/>
        <v>1339</v>
      </c>
      <c r="I31" s="22">
        <f t="shared" si="3"/>
        <v>3.26904296875</v>
      </c>
      <c r="J31" s="20">
        <f t="shared" si="4"/>
        <v>1029</v>
      </c>
      <c r="K31" s="22">
        <f t="shared" si="5"/>
        <v>76.84839432412248</v>
      </c>
      <c r="L31" s="20">
        <f t="shared" si="16"/>
        <v>364</v>
      </c>
      <c r="M31" s="20">
        <f t="shared" si="16"/>
        <v>7</v>
      </c>
      <c r="N31" s="20">
        <f t="shared" si="16"/>
        <v>37</v>
      </c>
      <c r="O31" s="20">
        <f t="shared" si="16"/>
        <v>621</v>
      </c>
      <c r="P31" s="20">
        <f t="shared" si="16"/>
        <v>185</v>
      </c>
      <c r="Q31" s="23">
        <f t="shared" si="16"/>
        <v>125</v>
      </c>
      <c r="R31" s="24">
        <f t="shared" si="7"/>
        <v>0.01708984375</v>
      </c>
      <c r="S31" s="20">
        <f>SUM(S13,S19,S25)</f>
        <v>0</v>
      </c>
      <c r="T31" s="166">
        <f>S31/F31*100</f>
        <v>0</v>
      </c>
      <c r="U31" s="21">
        <f t="shared" si="13"/>
        <v>0.6802721088435374</v>
      </c>
      <c r="V31" s="20">
        <f>SUM(V13,V19,V25)</f>
        <v>11225</v>
      </c>
      <c r="W31" s="25">
        <f t="shared" si="10"/>
        <v>27.40478515625</v>
      </c>
    </row>
    <row r="32" spans="1:23" ht="9.75" customHeight="1">
      <c r="A32" s="294"/>
      <c r="B32" s="120" t="s">
        <v>98</v>
      </c>
      <c r="C32" s="260"/>
      <c r="D32" s="260"/>
      <c r="E32" s="265"/>
      <c r="F32" s="133">
        <f>SUM(F14,F20,F26)</f>
        <v>68</v>
      </c>
      <c r="G32" s="260"/>
      <c r="H32" s="133">
        <f t="shared" si="2"/>
        <v>1</v>
      </c>
      <c r="I32" s="135">
        <f t="shared" si="3"/>
        <v>1.4705882352941175</v>
      </c>
      <c r="J32" s="133">
        <f t="shared" si="4"/>
        <v>1</v>
      </c>
      <c r="K32" s="135">
        <f t="shared" si="5"/>
        <v>100</v>
      </c>
      <c r="L32" s="20">
        <f t="shared" si="16"/>
        <v>0</v>
      </c>
      <c r="M32" s="20">
        <f t="shared" si="16"/>
        <v>0</v>
      </c>
      <c r="N32" s="20">
        <f t="shared" si="16"/>
        <v>0</v>
      </c>
      <c r="O32" s="20">
        <f t="shared" si="16"/>
        <v>1</v>
      </c>
      <c r="P32" s="20">
        <f t="shared" si="16"/>
        <v>0</v>
      </c>
      <c r="Q32" s="23">
        <f t="shared" si="16"/>
        <v>0</v>
      </c>
      <c r="R32" s="136">
        <f t="shared" si="7"/>
        <v>0</v>
      </c>
      <c r="S32" s="20">
        <f>SUM(S14,S20,S26)</f>
        <v>0</v>
      </c>
      <c r="T32" s="167">
        <f>S32/F32*100</f>
        <v>0</v>
      </c>
      <c r="U32" s="134">
        <f t="shared" si="13"/>
        <v>0</v>
      </c>
      <c r="V32" s="20">
        <f>SUM(V14,V20,V26)</f>
        <v>31</v>
      </c>
      <c r="W32" s="137">
        <f t="shared" si="10"/>
        <v>45.588235294117645</v>
      </c>
    </row>
    <row r="33" spans="1:23" ht="9.75" customHeight="1">
      <c r="A33" s="295"/>
      <c r="B33" s="228" t="s">
        <v>111</v>
      </c>
      <c r="C33" s="238">
        <f>SUM(C29,C31)</f>
        <v>359676</v>
      </c>
      <c r="D33" s="238">
        <f>SUM(D29,D31)</f>
        <v>187731</v>
      </c>
      <c r="E33" s="253">
        <f t="shared" si="0"/>
        <v>52.19447502752477</v>
      </c>
      <c r="F33" s="238">
        <f>SUM(F29,F31)</f>
        <v>60955</v>
      </c>
      <c r="G33" s="239">
        <f t="shared" si="1"/>
        <v>32.4693311173967</v>
      </c>
      <c r="H33" s="238">
        <f t="shared" si="2"/>
        <v>2350</v>
      </c>
      <c r="I33" s="240">
        <f t="shared" si="3"/>
        <v>3.8553030924452467</v>
      </c>
      <c r="J33" s="238">
        <f t="shared" si="4"/>
        <v>1779</v>
      </c>
      <c r="K33" s="240">
        <f t="shared" si="5"/>
        <v>75.70212765957447</v>
      </c>
      <c r="L33" s="238">
        <f aca="true" t="shared" si="17" ref="L33:Q34">SUM(L29,L31)</f>
        <v>558</v>
      </c>
      <c r="M33" s="238">
        <f t="shared" si="17"/>
        <v>26</v>
      </c>
      <c r="N33" s="238">
        <f t="shared" si="17"/>
        <v>65</v>
      </c>
      <c r="O33" s="238">
        <f t="shared" si="17"/>
        <v>1130</v>
      </c>
      <c r="P33" s="238">
        <f t="shared" si="17"/>
        <v>353</v>
      </c>
      <c r="Q33" s="241">
        <f t="shared" si="17"/>
        <v>218</v>
      </c>
      <c r="R33" s="242">
        <f t="shared" si="7"/>
        <v>0.04265441719301124</v>
      </c>
      <c r="S33" s="238">
        <f>SUM(S29,S31)</f>
        <v>3</v>
      </c>
      <c r="T33" s="243">
        <f>S33/F33*100</f>
        <v>0.004921663522270527</v>
      </c>
      <c r="U33" s="239">
        <f t="shared" si="13"/>
        <v>1.4614952220348512</v>
      </c>
      <c r="V33" s="238">
        <f>SUM(V29,V31)</f>
        <v>17059</v>
      </c>
      <c r="W33" s="244">
        <f t="shared" si="10"/>
        <v>27.98621934213764</v>
      </c>
    </row>
    <row r="34" spans="1:23" ht="9.75" customHeight="1" thickBot="1">
      <c r="A34" s="296"/>
      <c r="B34" s="229" t="s">
        <v>112</v>
      </c>
      <c r="C34" s="262"/>
      <c r="D34" s="262"/>
      <c r="E34" s="263"/>
      <c r="F34" s="245">
        <f>SUM(F30,F32)</f>
        <v>1042</v>
      </c>
      <c r="G34" s="272"/>
      <c r="H34" s="245">
        <f t="shared" si="2"/>
        <v>15</v>
      </c>
      <c r="I34" s="247">
        <f t="shared" si="3"/>
        <v>1.4395393474088292</v>
      </c>
      <c r="J34" s="245">
        <f t="shared" si="4"/>
        <v>13</v>
      </c>
      <c r="K34" s="247">
        <f t="shared" si="5"/>
        <v>86.66666666666667</v>
      </c>
      <c r="L34" s="245">
        <f t="shared" si="17"/>
        <v>3</v>
      </c>
      <c r="M34" s="245">
        <f t="shared" si="17"/>
        <v>0</v>
      </c>
      <c r="N34" s="245">
        <f t="shared" si="17"/>
        <v>0</v>
      </c>
      <c r="O34" s="245">
        <f t="shared" si="17"/>
        <v>10</v>
      </c>
      <c r="P34" s="245">
        <f t="shared" si="17"/>
        <v>1</v>
      </c>
      <c r="Q34" s="248">
        <f t="shared" si="17"/>
        <v>1</v>
      </c>
      <c r="R34" s="249">
        <f t="shared" si="7"/>
        <v>0</v>
      </c>
      <c r="S34" s="245">
        <f>SUM(S30,S32)</f>
        <v>0</v>
      </c>
      <c r="T34" s="250">
        <f>S34/F34</f>
        <v>0</v>
      </c>
      <c r="U34" s="246">
        <f t="shared" si="13"/>
        <v>0</v>
      </c>
      <c r="V34" s="245">
        <f>SUM(V30,V32)</f>
        <v>324</v>
      </c>
      <c r="W34" s="251">
        <f t="shared" si="10"/>
        <v>31.09404990403071</v>
      </c>
    </row>
    <row r="35" spans="1:23" ht="9.75" customHeight="1">
      <c r="A35" s="290" t="s">
        <v>87</v>
      </c>
      <c r="B35" s="41" t="s">
        <v>96</v>
      </c>
      <c r="C35" s="111">
        <v>117890</v>
      </c>
      <c r="D35" s="111">
        <v>42613</v>
      </c>
      <c r="E35" s="121">
        <f t="shared" si="0"/>
        <v>36.14640766816524</v>
      </c>
      <c r="F35" s="122">
        <v>6873</v>
      </c>
      <c r="G35" s="113">
        <f t="shared" si="1"/>
        <v>16.128880857954144</v>
      </c>
      <c r="H35" s="111">
        <f t="shared" si="2"/>
        <v>201</v>
      </c>
      <c r="I35" s="123">
        <f t="shared" si="3"/>
        <v>2.9244871235268444</v>
      </c>
      <c r="J35" s="111">
        <f t="shared" si="4"/>
        <v>176</v>
      </c>
      <c r="K35" s="123">
        <f t="shared" si="5"/>
        <v>87.56218905472637</v>
      </c>
      <c r="L35" s="111">
        <v>49</v>
      </c>
      <c r="M35" s="111">
        <v>10</v>
      </c>
      <c r="N35" s="111">
        <v>6</v>
      </c>
      <c r="O35" s="111">
        <v>111</v>
      </c>
      <c r="P35" s="111">
        <v>23</v>
      </c>
      <c r="Q35" s="124">
        <v>2</v>
      </c>
      <c r="R35" s="112">
        <f t="shared" si="7"/>
        <v>0.14549687181725593</v>
      </c>
      <c r="S35" s="205">
        <v>2</v>
      </c>
      <c r="T35" s="112">
        <f>S35/F35*100</f>
        <v>0.029099374363451183</v>
      </c>
      <c r="U35" s="113">
        <f t="shared" si="13"/>
        <v>5.681818181818182</v>
      </c>
      <c r="V35" s="111">
        <v>1756</v>
      </c>
      <c r="W35" s="114">
        <f t="shared" si="10"/>
        <v>25.549250691110142</v>
      </c>
    </row>
    <row r="36" spans="1:23" ht="9.75" customHeight="1">
      <c r="A36" s="291"/>
      <c r="B36" s="42" t="s">
        <v>99</v>
      </c>
      <c r="C36" s="258"/>
      <c r="D36" s="258"/>
      <c r="E36" s="264"/>
      <c r="F36" s="107">
        <v>443</v>
      </c>
      <c r="G36" s="270"/>
      <c r="H36" s="26">
        <f t="shared" si="2"/>
        <v>17</v>
      </c>
      <c r="I36" s="29">
        <f t="shared" si="3"/>
        <v>3.837471783295711</v>
      </c>
      <c r="J36" s="26">
        <f t="shared" si="4"/>
        <v>16</v>
      </c>
      <c r="K36" s="29">
        <f t="shared" si="5"/>
        <v>94.11764705882352</v>
      </c>
      <c r="L36" s="26">
        <v>5</v>
      </c>
      <c r="M36" s="26">
        <v>0</v>
      </c>
      <c r="N36" s="26">
        <v>0</v>
      </c>
      <c r="O36" s="26">
        <v>11</v>
      </c>
      <c r="P36" s="26">
        <v>1</v>
      </c>
      <c r="Q36" s="30">
        <v>0</v>
      </c>
      <c r="R36" s="31">
        <f t="shared" si="7"/>
        <v>0</v>
      </c>
      <c r="S36" s="206">
        <v>0</v>
      </c>
      <c r="T36" s="168">
        <f>S36/F36*100</f>
        <v>0</v>
      </c>
      <c r="U36" s="27">
        <f t="shared" si="13"/>
        <v>0</v>
      </c>
      <c r="V36" s="26">
        <v>314</v>
      </c>
      <c r="W36" s="32">
        <f t="shared" si="10"/>
        <v>70.8803611738149</v>
      </c>
    </row>
    <row r="37" spans="1:23" ht="9.75" customHeight="1">
      <c r="A37" s="291"/>
      <c r="B37" s="42" t="s">
        <v>97</v>
      </c>
      <c r="C37" s="26">
        <v>132200</v>
      </c>
      <c r="D37" s="26">
        <v>84636</v>
      </c>
      <c r="E37" s="121">
        <f t="shared" si="0"/>
        <v>64.02118003025718</v>
      </c>
      <c r="F37" s="107">
        <v>14334</v>
      </c>
      <c r="G37" s="27">
        <f t="shared" si="1"/>
        <v>16.936055579186164</v>
      </c>
      <c r="H37" s="26">
        <f t="shared" si="2"/>
        <v>301</v>
      </c>
      <c r="I37" s="29">
        <f t="shared" si="3"/>
        <v>2.0999023301241806</v>
      </c>
      <c r="J37" s="26">
        <f t="shared" si="4"/>
        <v>281</v>
      </c>
      <c r="K37" s="29">
        <f t="shared" si="5"/>
        <v>93.35548172757476</v>
      </c>
      <c r="L37" s="26">
        <v>112</v>
      </c>
      <c r="M37" s="26">
        <v>7</v>
      </c>
      <c r="N37" s="26">
        <v>8</v>
      </c>
      <c r="O37" s="26">
        <v>154</v>
      </c>
      <c r="P37" s="26">
        <v>16</v>
      </c>
      <c r="Q37" s="30">
        <v>4</v>
      </c>
      <c r="R37" s="31">
        <f t="shared" si="7"/>
        <v>0.04883493790986466</v>
      </c>
      <c r="S37" s="206">
        <v>1</v>
      </c>
      <c r="T37" s="168">
        <f>S37/F37*100</f>
        <v>0.006976419701409237</v>
      </c>
      <c r="U37" s="27">
        <f t="shared" si="13"/>
        <v>2.491103202846975</v>
      </c>
      <c r="V37" s="26">
        <v>3489</v>
      </c>
      <c r="W37" s="32">
        <f t="shared" si="10"/>
        <v>24.340728338216827</v>
      </c>
    </row>
    <row r="38" spans="1:23" ht="9.75" customHeight="1">
      <c r="A38" s="291"/>
      <c r="B38" s="41" t="s">
        <v>98</v>
      </c>
      <c r="C38" s="260"/>
      <c r="D38" s="260"/>
      <c r="E38" s="265"/>
      <c r="F38" s="108">
        <v>70</v>
      </c>
      <c r="G38" s="271"/>
      <c r="H38" s="105">
        <f t="shared" si="2"/>
        <v>7</v>
      </c>
      <c r="I38" s="106">
        <f t="shared" si="3"/>
        <v>10</v>
      </c>
      <c r="J38" s="105">
        <f t="shared" si="4"/>
        <v>7</v>
      </c>
      <c r="K38" s="106">
        <f t="shared" si="5"/>
        <v>100</v>
      </c>
      <c r="L38" s="105">
        <v>3</v>
      </c>
      <c r="M38" s="105">
        <v>1</v>
      </c>
      <c r="N38" s="105">
        <v>0</v>
      </c>
      <c r="O38" s="105">
        <v>3</v>
      </c>
      <c r="P38" s="105">
        <v>0</v>
      </c>
      <c r="Q38" s="115">
        <v>0</v>
      </c>
      <c r="R38" s="116">
        <f t="shared" si="7"/>
        <v>1.4285714285714286</v>
      </c>
      <c r="S38" s="207">
        <v>0</v>
      </c>
      <c r="T38" s="208">
        <f>S38/F38*100</f>
        <v>0</v>
      </c>
      <c r="U38" s="104">
        <f t="shared" si="13"/>
        <v>14.285714285714285</v>
      </c>
      <c r="V38" s="105">
        <v>56</v>
      </c>
      <c r="W38" s="117">
        <f t="shared" si="10"/>
        <v>80</v>
      </c>
    </row>
    <row r="39" spans="1:23" ht="9.75" customHeight="1">
      <c r="A39" s="291"/>
      <c r="B39" s="209" t="s">
        <v>111</v>
      </c>
      <c r="C39" s="210">
        <f>SUM(C35,C37)</f>
        <v>250090</v>
      </c>
      <c r="D39" s="210">
        <f>SUM(D35,D37)</f>
        <v>127249</v>
      </c>
      <c r="E39" s="211">
        <f t="shared" si="0"/>
        <v>50.88128273821424</v>
      </c>
      <c r="F39" s="210">
        <f>SUM(F35,F37)</f>
        <v>21207</v>
      </c>
      <c r="G39" s="212">
        <f t="shared" si="1"/>
        <v>16.665749829075278</v>
      </c>
      <c r="H39" s="210">
        <f t="shared" si="2"/>
        <v>502</v>
      </c>
      <c r="I39" s="56">
        <f t="shared" si="3"/>
        <v>2.3671429245060596</v>
      </c>
      <c r="J39" s="210">
        <f t="shared" si="4"/>
        <v>457</v>
      </c>
      <c r="K39" s="56">
        <f t="shared" si="5"/>
        <v>91.03585657370517</v>
      </c>
      <c r="L39" s="210">
        <f aca="true" t="shared" si="18" ref="L39:Q40">SUM(L35,L37)</f>
        <v>161</v>
      </c>
      <c r="M39" s="210">
        <f t="shared" si="18"/>
        <v>17</v>
      </c>
      <c r="N39" s="210">
        <f t="shared" si="18"/>
        <v>14</v>
      </c>
      <c r="O39" s="210">
        <f t="shared" si="18"/>
        <v>265</v>
      </c>
      <c r="P39" s="210">
        <f t="shared" si="18"/>
        <v>39</v>
      </c>
      <c r="Q39" s="213">
        <f t="shared" si="18"/>
        <v>6</v>
      </c>
      <c r="R39" s="214">
        <f t="shared" si="7"/>
        <v>0.08016221059084265</v>
      </c>
      <c r="S39" s="210">
        <f>SUM(S35,S37)</f>
        <v>3</v>
      </c>
      <c r="T39" s="216">
        <f>S39/F39*100</f>
        <v>0.014146272457207527</v>
      </c>
      <c r="U39" s="212">
        <f t="shared" si="13"/>
        <v>3.7199124726477026</v>
      </c>
      <c r="V39" s="210">
        <f>SUM(V35,V37)</f>
        <v>5245</v>
      </c>
      <c r="W39" s="227">
        <f t="shared" si="10"/>
        <v>24.732399679351158</v>
      </c>
    </row>
    <row r="40" spans="1:23" ht="9.75" customHeight="1" thickBot="1">
      <c r="A40" s="292"/>
      <c r="B40" s="231" t="s">
        <v>112</v>
      </c>
      <c r="C40" s="262"/>
      <c r="D40" s="262"/>
      <c r="E40" s="263"/>
      <c r="F40" s="232">
        <f>SUM(F36,F38)</f>
        <v>513</v>
      </c>
      <c r="G40" s="272"/>
      <c r="H40" s="232">
        <f t="shared" si="2"/>
        <v>24</v>
      </c>
      <c r="I40" s="93">
        <f t="shared" si="3"/>
        <v>4.678362573099415</v>
      </c>
      <c r="J40" s="232">
        <f t="shared" si="4"/>
        <v>23</v>
      </c>
      <c r="K40" s="93">
        <f t="shared" si="5"/>
        <v>95.83333333333334</v>
      </c>
      <c r="L40" s="232">
        <f t="shared" si="18"/>
        <v>8</v>
      </c>
      <c r="M40" s="232">
        <f t="shared" si="18"/>
        <v>1</v>
      </c>
      <c r="N40" s="232">
        <f t="shared" si="18"/>
        <v>0</v>
      </c>
      <c r="O40" s="232">
        <f t="shared" si="18"/>
        <v>14</v>
      </c>
      <c r="P40" s="232">
        <f t="shared" si="18"/>
        <v>1</v>
      </c>
      <c r="Q40" s="234">
        <f t="shared" si="18"/>
        <v>0</v>
      </c>
      <c r="R40" s="235">
        <f t="shared" si="7"/>
        <v>0.1949317738791423</v>
      </c>
      <c r="S40" s="232">
        <f>SUM(S36,S38)</f>
        <v>0</v>
      </c>
      <c r="T40" s="236">
        <f>S40/F40</f>
        <v>0</v>
      </c>
      <c r="U40" s="233">
        <f t="shared" si="13"/>
        <v>4.3478260869565215</v>
      </c>
      <c r="V40" s="232">
        <f>SUM(V36,V38)</f>
        <v>370</v>
      </c>
      <c r="W40" s="339">
        <f t="shared" si="10"/>
        <v>72.12475633528264</v>
      </c>
    </row>
    <row r="41" spans="1:23" ht="9.75" customHeight="1">
      <c r="A41" s="293" t="s">
        <v>43</v>
      </c>
      <c r="B41" s="118" t="s">
        <v>96</v>
      </c>
      <c r="C41" s="125">
        <f aca="true" t="shared" si="19" ref="C41:D43">C35</f>
        <v>117890</v>
      </c>
      <c r="D41" s="125">
        <f t="shared" si="19"/>
        <v>42613</v>
      </c>
      <c r="E41" s="126">
        <f t="shared" si="0"/>
        <v>36.14640766816524</v>
      </c>
      <c r="F41" s="125">
        <f>F35</f>
        <v>6873</v>
      </c>
      <c r="G41" s="127">
        <f t="shared" si="1"/>
        <v>16.128880857954144</v>
      </c>
      <c r="H41" s="125">
        <f t="shared" si="2"/>
        <v>201</v>
      </c>
      <c r="I41" s="128">
        <f t="shared" si="3"/>
        <v>2.9244871235268444</v>
      </c>
      <c r="J41" s="125">
        <f t="shared" si="4"/>
        <v>176</v>
      </c>
      <c r="K41" s="128">
        <f t="shared" si="5"/>
        <v>87.56218905472637</v>
      </c>
      <c r="L41" s="125">
        <f aca="true" t="shared" si="20" ref="L41:Q42">L35</f>
        <v>49</v>
      </c>
      <c r="M41" s="125">
        <f t="shared" si="20"/>
        <v>10</v>
      </c>
      <c r="N41" s="125">
        <f t="shared" si="20"/>
        <v>6</v>
      </c>
      <c r="O41" s="125">
        <f t="shared" si="20"/>
        <v>111</v>
      </c>
      <c r="P41" s="125">
        <f t="shared" si="20"/>
        <v>23</v>
      </c>
      <c r="Q41" s="129">
        <f t="shared" si="20"/>
        <v>2</v>
      </c>
      <c r="R41" s="130">
        <f t="shared" si="7"/>
        <v>0.14549687181725593</v>
      </c>
      <c r="S41" s="125">
        <f>S35</f>
        <v>2</v>
      </c>
      <c r="T41" s="130">
        <f>S41/F41*100</f>
        <v>0.029099374363451183</v>
      </c>
      <c r="U41" s="127">
        <f t="shared" si="13"/>
        <v>5.681818181818182</v>
      </c>
      <c r="V41" s="125">
        <f>V35</f>
        <v>1756</v>
      </c>
      <c r="W41" s="131">
        <f t="shared" si="10"/>
        <v>25.549250691110142</v>
      </c>
    </row>
    <row r="42" spans="1:23" ht="9.75" customHeight="1">
      <c r="A42" s="294"/>
      <c r="B42" s="119" t="s">
        <v>99</v>
      </c>
      <c r="C42" s="258"/>
      <c r="D42" s="258"/>
      <c r="E42" s="264"/>
      <c r="F42" s="20">
        <f>F36</f>
        <v>443</v>
      </c>
      <c r="G42" s="270"/>
      <c r="H42" s="20">
        <f t="shared" si="2"/>
        <v>17</v>
      </c>
      <c r="I42" s="22">
        <f t="shared" si="3"/>
        <v>3.837471783295711</v>
      </c>
      <c r="J42" s="20">
        <f t="shared" si="4"/>
        <v>16</v>
      </c>
      <c r="K42" s="22">
        <f t="shared" si="5"/>
        <v>94.11764705882352</v>
      </c>
      <c r="L42" s="20">
        <f t="shared" si="20"/>
        <v>5</v>
      </c>
      <c r="M42" s="20">
        <f t="shared" si="20"/>
        <v>0</v>
      </c>
      <c r="N42" s="20">
        <f t="shared" si="20"/>
        <v>0</v>
      </c>
      <c r="O42" s="20">
        <f t="shared" si="20"/>
        <v>11</v>
      </c>
      <c r="P42" s="20">
        <f t="shared" si="20"/>
        <v>1</v>
      </c>
      <c r="Q42" s="23">
        <f t="shared" si="20"/>
        <v>0</v>
      </c>
      <c r="R42" s="24">
        <f t="shared" si="7"/>
        <v>0</v>
      </c>
      <c r="S42" s="20">
        <f>S36</f>
        <v>0</v>
      </c>
      <c r="T42" s="166">
        <f>S42/F42*100</f>
        <v>0</v>
      </c>
      <c r="U42" s="21">
        <f t="shared" si="13"/>
        <v>0</v>
      </c>
      <c r="V42" s="20">
        <f>V36</f>
        <v>314</v>
      </c>
      <c r="W42" s="25">
        <f t="shared" si="10"/>
        <v>70.8803611738149</v>
      </c>
    </row>
    <row r="43" spans="1:23" ht="9.75" customHeight="1">
      <c r="A43" s="294"/>
      <c r="B43" s="119" t="s">
        <v>97</v>
      </c>
      <c r="C43" s="20">
        <f t="shared" si="19"/>
        <v>132200</v>
      </c>
      <c r="D43" s="20">
        <f t="shared" si="19"/>
        <v>84636</v>
      </c>
      <c r="E43" s="237">
        <f t="shared" si="0"/>
        <v>64.02118003025718</v>
      </c>
      <c r="F43" s="20">
        <f>F37</f>
        <v>14334</v>
      </c>
      <c r="G43" s="21">
        <f t="shared" si="1"/>
        <v>16.936055579186164</v>
      </c>
      <c r="H43" s="20">
        <f t="shared" si="2"/>
        <v>301</v>
      </c>
      <c r="I43" s="22">
        <f t="shared" si="3"/>
        <v>2.0999023301241806</v>
      </c>
      <c r="J43" s="20">
        <f t="shared" si="4"/>
        <v>281</v>
      </c>
      <c r="K43" s="22">
        <f t="shared" si="5"/>
        <v>93.35548172757476</v>
      </c>
      <c r="L43" s="20">
        <f aca="true" t="shared" si="21" ref="L43:Q43">L37</f>
        <v>112</v>
      </c>
      <c r="M43" s="20">
        <f t="shared" si="21"/>
        <v>7</v>
      </c>
      <c r="N43" s="20">
        <f t="shared" si="21"/>
        <v>8</v>
      </c>
      <c r="O43" s="20">
        <f t="shared" si="21"/>
        <v>154</v>
      </c>
      <c r="P43" s="20">
        <f t="shared" si="21"/>
        <v>16</v>
      </c>
      <c r="Q43" s="23">
        <f t="shared" si="21"/>
        <v>4</v>
      </c>
      <c r="R43" s="24">
        <f t="shared" si="7"/>
        <v>0.04883493790986466</v>
      </c>
      <c r="S43" s="20">
        <f>S37</f>
        <v>1</v>
      </c>
      <c r="T43" s="166">
        <f>S43/F43*100</f>
        <v>0.006976419701409237</v>
      </c>
      <c r="U43" s="21">
        <f t="shared" si="13"/>
        <v>2.491103202846975</v>
      </c>
      <c r="V43" s="20">
        <f>V37</f>
        <v>3489</v>
      </c>
      <c r="W43" s="25">
        <f t="shared" si="10"/>
        <v>24.340728338216827</v>
      </c>
    </row>
    <row r="44" spans="1:23" ht="9.75" customHeight="1">
      <c r="A44" s="294"/>
      <c r="B44" s="120" t="s">
        <v>98</v>
      </c>
      <c r="C44" s="258"/>
      <c r="D44" s="258"/>
      <c r="E44" s="265"/>
      <c r="F44" s="20">
        <f>F38</f>
        <v>70</v>
      </c>
      <c r="G44" s="271"/>
      <c r="H44" s="133">
        <f t="shared" si="2"/>
        <v>7</v>
      </c>
      <c r="I44" s="135">
        <f t="shared" si="3"/>
        <v>10</v>
      </c>
      <c r="J44" s="133">
        <f t="shared" si="4"/>
        <v>7</v>
      </c>
      <c r="K44" s="135">
        <f t="shared" si="5"/>
        <v>100</v>
      </c>
      <c r="L44" s="20">
        <f aca="true" t="shared" si="22" ref="L44:Q44">L38</f>
        <v>3</v>
      </c>
      <c r="M44" s="20">
        <f t="shared" si="22"/>
        <v>1</v>
      </c>
      <c r="N44" s="20">
        <f t="shared" si="22"/>
        <v>0</v>
      </c>
      <c r="O44" s="20">
        <f t="shared" si="22"/>
        <v>3</v>
      </c>
      <c r="P44" s="20">
        <f t="shared" si="22"/>
        <v>0</v>
      </c>
      <c r="Q44" s="138">
        <f t="shared" si="22"/>
        <v>0</v>
      </c>
      <c r="R44" s="136">
        <f t="shared" si="7"/>
        <v>1.4285714285714286</v>
      </c>
      <c r="S44" s="20">
        <f>S38</f>
        <v>0</v>
      </c>
      <c r="T44" s="167">
        <f>S44/F44*100</f>
        <v>0</v>
      </c>
      <c r="U44" s="134">
        <f t="shared" si="13"/>
        <v>14.285714285714285</v>
      </c>
      <c r="V44" s="20">
        <f>V38</f>
        <v>56</v>
      </c>
      <c r="W44" s="137">
        <f t="shared" si="10"/>
        <v>80</v>
      </c>
    </row>
    <row r="45" spans="1:23" ht="9.75" customHeight="1">
      <c r="A45" s="295"/>
      <c r="B45" s="228" t="s">
        <v>111</v>
      </c>
      <c r="C45" s="238">
        <f>SUM(C41,C43)</f>
        <v>250090</v>
      </c>
      <c r="D45" s="238">
        <f>SUM(D41,D43)</f>
        <v>127249</v>
      </c>
      <c r="E45" s="253">
        <f t="shared" si="0"/>
        <v>50.88128273821424</v>
      </c>
      <c r="F45" s="238">
        <f>SUM(F41,F43)</f>
        <v>21207</v>
      </c>
      <c r="G45" s="239">
        <f t="shared" si="1"/>
        <v>16.665749829075278</v>
      </c>
      <c r="H45" s="238">
        <f t="shared" si="2"/>
        <v>502</v>
      </c>
      <c r="I45" s="240">
        <f t="shared" si="3"/>
        <v>2.3671429245060596</v>
      </c>
      <c r="J45" s="238">
        <f t="shared" si="4"/>
        <v>457</v>
      </c>
      <c r="K45" s="240">
        <f t="shared" si="5"/>
        <v>91.03585657370517</v>
      </c>
      <c r="L45" s="238">
        <f aca="true" t="shared" si="23" ref="L45:Q46">SUM(L41,L43)</f>
        <v>161</v>
      </c>
      <c r="M45" s="238">
        <f t="shared" si="23"/>
        <v>17</v>
      </c>
      <c r="N45" s="238">
        <f t="shared" si="23"/>
        <v>14</v>
      </c>
      <c r="O45" s="238">
        <f t="shared" si="23"/>
        <v>265</v>
      </c>
      <c r="P45" s="238">
        <f t="shared" si="23"/>
        <v>39</v>
      </c>
      <c r="Q45" s="241">
        <f t="shared" si="23"/>
        <v>6</v>
      </c>
      <c r="R45" s="242">
        <f t="shared" si="7"/>
        <v>0.08016221059084265</v>
      </c>
      <c r="S45" s="238">
        <f>SUM(S41,S43)</f>
        <v>3</v>
      </c>
      <c r="T45" s="243">
        <f>S45/F45*100</f>
        <v>0.014146272457207527</v>
      </c>
      <c r="U45" s="239">
        <f t="shared" si="13"/>
        <v>3.7199124726477026</v>
      </c>
      <c r="V45" s="238">
        <f>SUM(V41,V43)</f>
        <v>5245</v>
      </c>
      <c r="W45" s="244">
        <f t="shared" si="10"/>
        <v>24.732399679351158</v>
      </c>
    </row>
    <row r="46" spans="1:23" ht="9.75" customHeight="1" thickBot="1">
      <c r="A46" s="296"/>
      <c r="B46" s="229" t="s">
        <v>112</v>
      </c>
      <c r="C46" s="262"/>
      <c r="D46" s="262"/>
      <c r="E46" s="269"/>
      <c r="F46" s="245">
        <f>SUM(F42,F44)</f>
        <v>513</v>
      </c>
      <c r="G46" s="272"/>
      <c r="H46" s="245">
        <f t="shared" si="2"/>
        <v>24</v>
      </c>
      <c r="I46" s="247">
        <f t="shared" si="3"/>
        <v>4.678362573099415</v>
      </c>
      <c r="J46" s="245">
        <f t="shared" si="4"/>
        <v>23</v>
      </c>
      <c r="K46" s="247">
        <f t="shared" si="5"/>
        <v>95.83333333333334</v>
      </c>
      <c r="L46" s="245">
        <f t="shared" si="23"/>
        <v>8</v>
      </c>
      <c r="M46" s="245">
        <f t="shared" si="23"/>
        <v>1</v>
      </c>
      <c r="N46" s="245">
        <f t="shared" si="23"/>
        <v>0</v>
      </c>
      <c r="O46" s="245">
        <f t="shared" si="23"/>
        <v>14</v>
      </c>
      <c r="P46" s="245">
        <f t="shared" si="23"/>
        <v>1</v>
      </c>
      <c r="Q46" s="248">
        <f t="shared" si="23"/>
        <v>0</v>
      </c>
      <c r="R46" s="249">
        <f t="shared" si="7"/>
        <v>0.1949317738791423</v>
      </c>
      <c r="S46" s="245">
        <f>SUM(S42,S44)</f>
        <v>0</v>
      </c>
      <c r="T46" s="250">
        <f>S46/F46</f>
        <v>0</v>
      </c>
      <c r="U46" s="246">
        <f t="shared" si="13"/>
        <v>4.3478260869565215</v>
      </c>
      <c r="V46" s="245">
        <f>SUM(V42,V44)</f>
        <v>370</v>
      </c>
      <c r="W46" s="251">
        <f t="shared" si="10"/>
        <v>72.12475633528264</v>
      </c>
    </row>
    <row r="47" spans="1:23" ht="9.75" customHeight="1">
      <c r="A47" s="297" t="s">
        <v>14</v>
      </c>
      <c r="B47" s="41" t="s">
        <v>96</v>
      </c>
      <c r="C47" s="111">
        <v>18871</v>
      </c>
      <c r="D47" s="111">
        <v>7624</v>
      </c>
      <c r="E47" s="121">
        <f t="shared" si="0"/>
        <v>40.40061469980393</v>
      </c>
      <c r="F47" s="122">
        <v>2555</v>
      </c>
      <c r="G47" s="113">
        <f t="shared" si="1"/>
        <v>33.51259181532004</v>
      </c>
      <c r="H47" s="111">
        <f t="shared" si="2"/>
        <v>121</v>
      </c>
      <c r="I47" s="123">
        <f t="shared" si="3"/>
        <v>4.735812133072407</v>
      </c>
      <c r="J47" s="111">
        <f t="shared" si="4"/>
        <v>102</v>
      </c>
      <c r="K47" s="123">
        <f t="shared" si="5"/>
        <v>84.29752066115702</v>
      </c>
      <c r="L47" s="111">
        <v>38</v>
      </c>
      <c r="M47" s="111">
        <v>4</v>
      </c>
      <c r="N47" s="111">
        <v>2</v>
      </c>
      <c r="O47" s="111">
        <v>58</v>
      </c>
      <c r="P47" s="111">
        <v>5</v>
      </c>
      <c r="Q47" s="124">
        <v>14</v>
      </c>
      <c r="R47" s="112">
        <f t="shared" si="7"/>
        <v>0.15655577299412915</v>
      </c>
      <c r="S47" s="205">
        <v>0</v>
      </c>
      <c r="T47" s="112">
        <f>S47/F47*100</f>
        <v>0</v>
      </c>
      <c r="U47" s="113">
        <f t="shared" si="13"/>
        <v>3.9215686274509802</v>
      </c>
      <c r="V47" s="111">
        <v>766</v>
      </c>
      <c r="W47" s="114">
        <f t="shared" si="10"/>
        <v>29.980430528375734</v>
      </c>
    </row>
    <row r="48" spans="1:23" ht="9.75" customHeight="1">
      <c r="A48" s="298"/>
      <c r="B48" s="42" t="s">
        <v>99</v>
      </c>
      <c r="C48" s="258"/>
      <c r="D48" s="258"/>
      <c r="E48" s="264"/>
      <c r="F48" s="107">
        <v>181</v>
      </c>
      <c r="G48" s="270"/>
      <c r="H48" s="26">
        <f t="shared" si="2"/>
        <v>0</v>
      </c>
      <c r="I48" s="29">
        <f t="shared" si="3"/>
        <v>0</v>
      </c>
      <c r="J48" s="26">
        <f t="shared" si="4"/>
        <v>0</v>
      </c>
      <c r="K48" s="29" t="e">
        <f t="shared" si="5"/>
        <v>#DIV/0!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30">
        <v>0</v>
      </c>
      <c r="R48" s="31">
        <f t="shared" si="7"/>
        <v>0</v>
      </c>
      <c r="S48" s="206">
        <v>0</v>
      </c>
      <c r="T48" s="168">
        <f>S48/F48*100</f>
        <v>0</v>
      </c>
      <c r="U48" s="27" t="e">
        <f t="shared" si="13"/>
        <v>#DIV/0!</v>
      </c>
      <c r="V48" s="26">
        <v>55</v>
      </c>
      <c r="W48" s="32">
        <f t="shared" si="10"/>
        <v>30.386740331491712</v>
      </c>
    </row>
    <row r="49" spans="1:23" ht="9.75" customHeight="1">
      <c r="A49" s="298"/>
      <c r="B49" s="42" t="s">
        <v>97</v>
      </c>
      <c r="C49" s="26">
        <v>22085</v>
      </c>
      <c r="D49" s="26">
        <v>13659</v>
      </c>
      <c r="E49" s="121">
        <f t="shared" si="0"/>
        <v>61.84740774281187</v>
      </c>
      <c r="F49" s="107">
        <v>6209</v>
      </c>
      <c r="G49" s="27">
        <f t="shared" si="1"/>
        <v>45.45720770188154</v>
      </c>
      <c r="H49" s="26">
        <f t="shared" si="2"/>
        <v>149</v>
      </c>
      <c r="I49" s="29">
        <f t="shared" si="3"/>
        <v>2.3997423095506525</v>
      </c>
      <c r="J49" s="26">
        <f t="shared" si="4"/>
        <v>130</v>
      </c>
      <c r="K49" s="29">
        <f t="shared" si="5"/>
        <v>87.24832214765101</v>
      </c>
      <c r="L49" s="26">
        <v>50</v>
      </c>
      <c r="M49" s="26">
        <v>2</v>
      </c>
      <c r="N49" s="26">
        <v>4</v>
      </c>
      <c r="O49" s="26">
        <v>74</v>
      </c>
      <c r="P49" s="26">
        <v>7</v>
      </c>
      <c r="Q49" s="30">
        <v>12</v>
      </c>
      <c r="R49" s="31">
        <f>M49/F49*100</f>
        <v>0.03221130616846513</v>
      </c>
      <c r="S49" s="206">
        <v>0</v>
      </c>
      <c r="T49" s="168">
        <f>S49/F49*100</f>
        <v>0</v>
      </c>
      <c r="U49" s="27">
        <f t="shared" si="13"/>
        <v>1.5384615384615385</v>
      </c>
      <c r="V49" s="26">
        <v>1216</v>
      </c>
      <c r="W49" s="32">
        <f t="shared" si="10"/>
        <v>19.5844741504268</v>
      </c>
    </row>
    <row r="50" spans="1:23" ht="9.75" customHeight="1">
      <c r="A50" s="298"/>
      <c r="B50" s="41" t="s">
        <v>98</v>
      </c>
      <c r="C50" s="260"/>
      <c r="D50" s="260"/>
      <c r="E50" s="265"/>
      <c r="F50" s="108">
        <v>13</v>
      </c>
      <c r="G50" s="271"/>
      <c r="H50" s="105">
        <f t="shared" si="2"/>
        <v>0</v>
      </c>
      <c r="I50" s="106">
        <f t="shared" si="3"/>
        <v>0</v>
      </c>
      <c r="J50" s="105">
        <f t="shared" si="4"/>
        <v>0</v>
      </c>
      <c r="K50" s="106" t="e">
        <f t="shared" si="5"/>
        <v>#DIV/0!</v>
      </c>
      <c r="L50" s="105">
        <v>0</v>
      </c>
      <c r="M50" s="105">
        <v>0</v>
      </c>
      <c r="N50" s="105">
        <v>0</v>
      </c>
      <c r="O50" s="105">
        <v>0</v>
      </c>
      <c r="P50" s="105">
        <v>0</v>
      </c>
      <c r="Q50" s="115">
        <v>0</v>
      </c>
      <c r="R50" s="116">
        <f t="shared" si="7"/>
        <v>0</v>
      </c>
      <c r="S50" s="207">
        <v>0</v>
      </c>
      <c r="T50" s="208">
        <f>S50/F50*100</f>
        <v>0</v>
      </c>
      <c r="U50" s="104" t="e">
        <f t="shared" si="13"/>
        <v>#DIV/0!</v>
      </c>
      <c r="V50" s="105">
        <v>0</v>
      </c>
      <c r="W50" s="117">
        <f t="shared" si="10"/>
        <v>0</v>
      </c>
    </row>
    <row r="51" spans="1:23" ht="9.75" customHeight="1">
      <c r="A51" s="298"/>
      <c r="B51" s="209" t="s">
        <v>111</v>
      </c>
      <c r="C51" s="210">
        <f>SUM(C47,C49)</f>
        <v>40956</v>
      </c>
      <c r="D51" s="210">
        <f>SUM(D47,D49)</f>
        <v>21283</v>
      </c>
      <c r="E51" s="211">
        <f t="shared" si="0"/>
        <v>51.96552397695088</v>
      </c>
      <c r="F51" s="210">
        <f>SUM(F47,F49)</f>
        <v>8764</v>
      </c>
      <c r="G51" s="212">
        <f t="shared" si="1"/>
        <v>41.1784053000047</v>
      </c>
      <c r="H51" s="210">
        <f t="shared" si="2"/>
        <v>270</v>
      </c>
      <c r="I51" s="56">
        <f t="shared" si="3"/>
        <v>3.080785029666819</v>
      </c>
      <c r="J51" s="210">
        <f t="shared" si="4"/>
        <v>232</v>
      </c>
      <c r="K51" s="56">
        <f t="shared" si="5"/>
        <v>85.92592592592592</v>
      </c>
      <c r="L51" s="210">
        <f aca="true" t="shared" si="24" ref="L51:Q52">SUM(L47,L49)</f>
        <v>88</v>
      </c>
      <c r="M51" s="210">
        <f t="shared" si="24"/>
        <v>6</v>
      </c>
      <c r="N51" s="210">
        <f t="shared" si="24"/>
        <v>6</v>
      </c>
      <c r="O51" s="210">
        <f t="shared" si="24"/>
        <v>132</v>
      </c>
      <c r="P51" s="210">
        <f t="shared" si="24"/>
        <v>12</v>
      </c>
      <c r="Q51" s="213">
        <f t="shared" si="24"/>
        <v>26</v>
      </c>
      <c r="R51" s="214">
        <f t="shared" si="7"/>
        <v>0.06846188954815154</v>
      </c>
      <c r="S51" s="210">
        <f>SUM(S47,S49)</f>
        <v>0</v>
      </c>
      <c r="T51" s="216">
        <f>S51/F51*100</f>
        <v>0</v>
      </c>
      <c r="U51" s="212">
        <f t="shared" si="13"/>
        <v>2.586206896551724</v>
      </c>
      <c r="V51" s="210">
        <f>SUM(V47,V49)</f>
        <v>1982</v>
      </c>
      <c r="W51" s="227">
        <f t="shared" si="10"/>
        <v>22.61524418073939</v>
      </c>
    </row>
    <row r="52" spans="1:23" ht="9.75" customHeight="1">
      <c r="A52" s="298"/>
      <c r="B52" s="217" t="s">
        <v>112</v>
      </c>
      <c r="C52" s="266"/>
      <c r="D52" s="266"/>
      <c r="E52" s="268"/>
      <c r="F52" s="218">
        <f>SUM(F48,F50)</f>
        <v>194</v>
      </c>
      <c r="G52" s="273"/>
      <c r="H52" s="218">
        <f t="shared" si="2"/>
        <v>0</v>
      </c>
      <c r="I52" s="220">
        <f t="shared" si="3"/>
        <v>0</v>
      </c>
      <c r="J52" s="218">
        <f t="shared" si="4"/>
        <v>0</v>
      </c>
      <c r="K52" s="220" t="e">
        <f t="shared" si="5"/>
        <v>#DIV/0!</v>
      </c>
      <c r="L52" s="218">
        <f t="shared" si="24"/>
        <v>0</v>
      </c>
      <c r="M52" s="218">
        <f t="shared" si="24"/>
        <v>0</v>
      </c>
      <c r="N52" s="218">
        <f t="shared" si="24"/>
        <v>0</v>
      </c>
      <c r="O52" s="218">
        <f t="shared" si="24"/>
        <v>0</v>
      </c>
      <c r="P52" s="218">
        <f t="shared" si="24"/>
        <v>0</v>
      </c>
      <c r="Q52" s="221">
        <f t="shared" si="24"/>
        <v>0</v>
      </c>
      <c r="R52" s="222">
        <f t="shared" si="7"/>
        <v>0</v>
      </c>
      <c r="S52" s="218">
        <f>SUM(S48,S50)</f>
        <v>0</v>
      </c>
      <c r="T52" s="169">
        <f>S52/F52</f>
        <v>0</v>
      </c>
      <c r="U52" s="219" t="e">
        <f t="shared" si="13"/>
        <v>#DIV/0!</v>
      </c>
      <c r="V52" s="218">
        <f>SUM(V48,V50)</f>
        <v>55</v>
      </c>
      <c r="W52" s="338">
        <f t="shared" si="10"/>
        <v>28.350515463917525</v>
      </c>
    </row>
    <row r="53" spans="1:23" ht="9.75" customHeight="1">
      <c r="A53" s="291" t="s">
        <v>88</v>
      </c>
      <c r="B53" s="41" t="s">
        <v>96</v>
      </c>
      <c r="C53" s="111">
        <v>10996</v>
      </c>
      <c r="D53" s="111">
        <v>5264</v>
      </c>
      <c r="E53" s="121">
        <f t="shared" si="0"/>
        <v>47.871953437613676</v>
      </c>
      <c r="F53" s="122">
        <v>1707</v>
      </c>
      <c r="G53" s="113">
        <f t="shared" si="1"/>
        <v>32.42781155015197</v>
      </c>
      <c r="H53" s="111">
        <f t="shared" si="2"/>
        <v>62</v>
      </c>
      <c r="I53" s="123">
        <f t="shared" si="3"/>
        <v>3.6321031048623316</v>
      </c>
      <c r="J53" s="111">
        <f t="shared" si="4"/>
        <v>48</v>
      </c>
      <c r="K53" s="123">
        <f t="shared" si="5"/>
        <v>77.41935483870968</v>
      </c>
      <c r="L53" s="111">
        <v>18</v>
      </c>
      <c r="M53" s="111">
        <v>0</v>
      </c>
      <c r="N53" s="111">
        <v>1</v>
      </c>
      <c r="O53" s="111">
        <v>29</v>
      </c>
      <c r="P53" s="111">
        <v>10</v>
      </c>
      <c r="Q53" s="124">
        <v>4</v>
      </c>
      <c r="R53" s="112">
        <f t="shared" si="7"/>
        <v>0</v>
      </c>
      <c r="S53" s="205">
        <v>0</v>
      </c>
      <c r="T53" s="112">
        <f>S53/F53*100</f>
        <v>0</v>
      </c>
      <c r="U53" s="113">
        <f t="shared" si="13"/>
        <v>0</v>
      </c>
      <c r="V53" s="111">
        <v>29</v>
      </c>
      <c r="W53" s="114">
        <f t="shared" si="10"/>
        <v>1.698886936145284</v>
      </c>
    </row>
    <row r="54" spans="1:23" ht="9.75" customHeight="1">
      <c r="A54" s="291"/>
      <c r="B54" s="42" t="s">
        <v>99</v>
      </c>
      <c r="C54" s="258"/>
      <c r="D54" s="258"/>
      <c r="E54" s="264"/>
      <c r="F54" s="107">
        <v>108</v>
      </c>
      <c r="G54" s="270"/>
      <c r="H54" s="26">
        <f t="shared" si="2"/>
        <v>3</v>
      </c>
      <c r="I54" s="29">
        <f t="shared" si="3"/>
        <v>2.7777777777777777</v>
      </c>
      <c r="J54" s="26">
        <f t="shared" si="4"/>
        <v>2</v>
      </c>
      <c r="K54" s="29">
        <f t="shared" si="5"/>
        <v>66.66666666666666</v>
      </c>
      <c r="L54" s="26">
        <v>1</v>
      </c>
      <c r="M54" s="26">
        <v>0</v>
      </c>
      <c r="N54" s="26">
        <v>0</v>
      </c>
      <c r="O54" s="26">
        <v>1</v>
      </c>
      <c r="P54" s="26">
        <v>1</v>
      </c>
      <c r="Q54" s="30">
        <v>0</v>
      </c>
      <c r="R54" s="31">
        <f t="shared" si="7"/>
        <v>0</v>
      </c>
      <c r="S54" s="206">
        <v>0</v>
      </c>
      <c r="T54" s="168">
        <f>S54/F54*100</f>
        <v>0</v>
      </c>
      <c r="U54" s="27">
        <f t="shared" si="13"/>
        <v>0</v>
      </c>
      <c r="V54" s="26">
        <v>18</v>
      </c>
      <c r="W54" s="32">
        <f t="shared" si="10"/>
        <v>16.666666666666664</v>
      </c>
    </row>
    <row r="55" spans="1:23" ht="9.75" customHeight="1">
      <c r="A55" s="291"/>
      <c r="B55" s="42" t="s">
        <v>97</v>
      </c>
      <c r="C55" s="26">
        <v>12824</v>
      </c>
      <c r="D55" s="26">
        <v>8210</v>
      </c>
      <c r="E55" s="121">
        <f t="shared" si="0"/>
        <v>64.02058640049907</v>
      </c>
      <c r="F55" s="107">
        <v>3257</v>
      </c>
      <c r="G55" s="27">
        <f t="shared" si="1"/>
        <v>39.67113276492083</v>
      </c>
      <c r="H55" s="26">
        <f t="shared" si="2"/>
        <v>78</v>
      </c>
      <c r="I55" s="29">
        <f t="shared" si="3"/>
        <v>2.394841879029782</v>
      </c>
      <c r="J55" s="26">
        <f t="shared" si="4"/>
        <v>62</v>
      </c>
      <c r="K55" s="29">
        <f t="shared" si="5"/>
        <v>79.48717948717949</v>
      </c>
      <c r="L55" s="26">
        <v>18</v>
      </c>
      <c r="M55" s="26">
        <v>2</v>
      </c>
      <c r="N55" s="26">
        <v>3</v>
      </c>
      <c r="O55" s="26">
        <v>39</v>
      </c>
      <c r="P55" s="26">
        <v>13</v>
      </c>
      <c r="Q55" s="30">
        <v>3</v>
      </c>
      <c r="R55" s="31">
        <f t="shared" si="7"/>
        <v>0.06140620202640467</v>
      </c>
      <c r="S55" s="206">
        <v>0</v>
      </c>
      <c r="T55" s="168">
        <f>S55/F55*100</f>
        <v>0</v>
      </c>
      <c r="U55" s="27">
        <f t="shared" si="13"/>
        <v>3.225806451612903</v>
      </c>
      <c r="V55" s="26">
        <v>12</v>
      </c>
      <c r="W55" s="32">
        <f t="shared" si="10"/>
        <v>0.368437212158428</v>
      </c>
    </row>
    <row r="56" spans="1:23" ht="9.75" customHeight="1">
      <c r="A56" s="291"/>
      <c r="B56" s="41" t="s">
        <v>98</v>
      </c>
      <c r="C56" s="260"/>
      <c r="D56" s="260"/>
      <c r="E56" s="265"/>
      <c r="F56" s="108">
        <v>6</v>
      </c>
      <c r="G56" s="271"/>
      <c r="H56" s="105">
        <f t="shared" si="2"/>
        <v>0</v>
      </c>
      <c r="I56" s="106">
        <f t="shared" si="3"/>
        <v>0</v>
      </c>
      <c r="J56" s="105">
        <f t="shared" si="4"/>
        <v>0</v>
      </c>
      <c r="K56" s="106" t="e">
        <f t="shared" si="5"/>
        <v>#DIV/0!</v>
      </c>
      <c r="L56" s="105">
        <v>0</v>
      </c>
      <c r="M56" s="105">
        <v>0</v>
      </c>
      <c r="N56" s="105">
        <v>0</v>
      </c>
      <c r="O56" s="105">
        <v>0</v>
      </c>
      <c r="P56" s="105">
        <v>0</v>
      </c>
      <c r="Q56" s="115">
        <v>0</v>
      </c>
      <c r="R56" s="116">
        <f t="shared" si="7"/>
        <v>0</v>
      </c>
      <c r="S56" s="207">
        <v>0</v>
      </c>
      <c r="T56" s="208">
        <f>S56/F56*100</f>
        <v>0</v>
      </c>
      <c r="U56" s="104" t="e">
        <f t="shared" si="13"/>
        <v>#DIV/0!</v>
      </c>
      <c r="V56" s="105">
        <v>0</v>
      </c>
      <c r="W56" s="117">
        <f t="shared" si="10"/>
        <v>0</v>
      </c>
    </row>
    <row r="57" spans="1:23" ht="9.75" customHeight="1">
      <c r="A57" s="291"/>
      <c r="B57" s="209" t="s">
        <v>111</v>
      </c>
      <c r="C57" s="210">
        <f>SUM(C53,C55)</f>
        <v>23820</v>
      </c>
      <c r="D57" s="210">
        <f>SUM(D53,D55)</f>
        <v>13474</v>
      </c>
      <c r="E57" s="211">
        <f t="shared" si="0"/>
        <v>56.56591099916037</v>
      </c>
      <c r="F57" s="210">
        <f>SUM(F53,F55)</f>
        <v>4964</v>
      </c>
      <c r="G57" s="212">
        <f t="shared" si="1"/>
        <v>36.84132403146801</v>
      </c>
      <c r="H57" s="210">
        <f t="shared" si="2"/>
        <v>140</v>
      </c>
      <c r="I57" s="56">
        <f t="shared" si="3"/>
        <v>2.8203062046736505</v>
      </c>
      <c r="J57" s="210">
        <f t="shared" si="4"/>
        <v>110</v>
      </c>
      <c r="K57" s="56">
        <f t="shared" si="5"/>
        <v>78.57142857142857</v>
      </c>
      <c r="L57" s="210">
        <f aca="true" t="shared" si="25" ref="L57:Q58">SUM(L53,L55)</f>
        <v>36</v>
      </c>
      <c r="M57" s="210">
        <f t="shared" si="25"/>
        <v>2</v>
      </c>
      <c r="N57" s="210">
        <f t="shared" si="25"/>
        <v>4</v>
      </c>
      <c r="O57" s="210">
        <f t="shared" si="25"/>
        <v>68</v>
      </c>
      <c r="P57" s="210">
        <f t="shared" si="25"/>
        <v>23</v>
      </c>
      <c r="Q57" s="213">
        <f t="shared" si="25"/>
        <v>7</v>
      </c>
      <c r="R57" s="214">
        <f t="shared" si="7"/>
        <v>0.040290088638195005</v>
      </c>
      <c r="S57" s="215"/>
      <c r="T57" s="216">
        <f>S57/F57*100</f>
        <v>0</v>
      </c>
      <c r="U57" s="212">
        <f t="shared" si="13"/>
        <v>1.8181818181818181</v>
      </c>
      <c r="V57" s="210">
        <f>SUM(V53,V55)</f>
        <v>41</v>
      </c>
      <c r="W57" s="227">
        <f t="shared" si="10"/>
        <v>0.8259468170829976</v>
      </c>
    </row>
    <row r="58" spans="1:23" ht="9.75" customHeight="1">
      <c r="A58" s="291"/>
      <c r="B58" s="217" t="s">
        <v>112</v>
      </c>
      <c r="C58" s="266"/>
      <c r="D58" s="266"/>
      <c r="E58" s="268"/>
      <c r="F58" s="218">
        <f>SUM(F54,F56)</f>
        <v>114</v>
      </c>
      <c r="G58" s="273"/>
      <c r="H58" s="218">
        <f t="shared" si="2"/>
        <v>3</v>
      </c>
      <c r="I58" s="220">
        <f t="shared" si="3"/>
        <v>2.631578947368421</v>
      </c>
      <c r="J58" s="218">
        <f t="shared" si="4"/>
        <v>2</v>
      </c>
      <c r="K58" s="220">
        <f t="shared" si="5"/>
        <v>66.66666666666666</v>
      </c>
      <c r="L58" s="218">
        <f t="shared" si="25"/>
        <v>1</v>
      </c>
      <c r="M58" s="218">
        <f t="shared" si="25"/>
        <v>0</v>
      </c>
      <c r="N58" s="218">
        <f t="shared" si="25"/>
        <v>0</v>
      </c>
      <c r="O58" s="218">
        <f t="shared" si="25"/>
        <v>1</v>
      </c>
      <c r="P58" s="218">
        <f t="shared" si="25"/>
        <v>1</v>
      </c>
      <c r="Q58" s="221">
        <f t="shared" si="25"/>
        <v>0</v>
      </c>
      <c r="R58" s="222">
        <f t="shared" si="7"/>
        <v>0</v>
      </c>
      <c r="S58" s="255">
        <f>SUM(S53:S56)</f>
        <v>0</v>
      </c>
      <c r="T58" s="169">
        <f>S58/F58</f>
        <v>0</v>
      </c>
      <c r="U58" s="219">
        <f t="shared" si="13"/>
        <v>0</v>
      </c>
      <c r="V58" s="218">
        <f>SUM(V54,V56)</f>
        <v>18</v>
      </c>
      <c r="W58" s="338">
        <f t="shared" si="10"/>
        <v>15.789473684210526</v>
      </c>
    </row>
    <row r="59" spans="1:23" ht="9.75" customHeight="1">
      <c r="A59" s="291" t="s">
        <v>89</v>
      </c>
      <c r="B59" s="41" t="s">
        <v>96</v>
      </c>
      <c r="C59" s="111">
        <v>4251</v>
      </c>
      <c r="D59" s="111">
        <v>2255</v>
      </c>
      <c r="E59" s="121">
        <f t="shared" si="0"/>
        <v>53.046342037167726</v>
      </c>
      <c r="F59" s="122">
        <v>708</v>
      </c>
      <c r="G59" s="113">
        <f t="shared" si="1"/>
        <v>31.39689578713969</v>
      </c>
      <c r="H59" s="111">
        <f t="shared" si="2"/>
        <v>31</v>
      </c>
      <c r="I59" s="123">
        <f t="shared" si="3"/>
        <v>4.378531073446328</v>
      </c>
      <c r="J59" s="111">
        <f t="shared" si="4"/>
        <v>29</v>
      </c>
      <c r="K59" s="123">
        <f t="shared" si="5"/>
        <v>93.54838709677419</v>
      </c>
      <c r="L59" s="111">
        <v>10</v>
      </c>
      <c r="M59" s="111">
        <v>0</v>
      </c>
      <c r="N59" s="111">
        <v>1</v>
      </c>
      <c r="O59" s="111">
        <v>18</v>
      </c>
      <c r="P59" s="111">
        <v>0</v>
      </c>
      <c r="Q59" s="124">
        <v>2</v>
      </c>
      <c r="R59" s="112">
        <f t="shared" si="7"/>
        <v>0</v>
      </c>
      <c r="S59" s="205">
        <v>0</v>
      </c>
      <c r="T59" s="112">
        <f>S59/F59*100</f>
        <v>0</v>
      </c>
      <c r="U59" s="113">
        <f t="shared" si="13"/>
        <v>0</v>
      </c>
      <c r="V59" s="111">
        <v>122</v>
      </c>
      <c r="W59" s="114">
        <f t="shared" si="10"/>
        <v>17.231638418079097</v>
      </c>
    </row>
    <row r="60" spans="1:23" ht="9.75" customHeight="1">
      <c r="A60" s="291"/>
      <c r="B60" s="42" t="s">
        <v>99</v>
      </c>
      <c r="C60" s="258"/>
      <c r="D60" s="258"/>
      <c r="E60" s="264"/>
      <c r="F60" s="107">
        <v>81</v>
      </c>
      <c r="G60" s="270"/>
      <c r="H60" s="26">
        <f t="shared" si="2"/>
        <v>1</v>
      </c>
      <c r="I60" s="29">
        <f t="shared" si="3"/>
        <v>1.2345679012345678</v>
      </c>
      <c r="J60" s="26">
        <f t="shared" si="4"/>
        <v>1</v>
      </c>
      <c r="K60" s="29">
        <f t="shared" si="5"/>
        <v>100</v>
      </c>
      <c r="L60" s="26">
        <v>1</v>
      </c>
      <c r="M60" s="26">
        <v>0</v>
      </c>
      <c r="N60" s="26">
        <v>0</v>
      </c>
      <c r="O60" s="26">
        <v>0</v>
      </c>
      <c r="P60" s="26">
        <v>0</v>
      </c>
      <c r="Q60" s="30">
        <v>0</v>
      </c>
      <c r="R60" s="31">
        <f t="shared" si="7"/>
        <v>0</v>
      </c>
      <c r="S60" s="206">
        <v>0</v>
      </c>
      <c r="T60" s="168">
        <f>S60/F60*100</f>
        <v>0</v>
      </c>
      <c r="U60" s="27">
        <f t="shared" si="13"/>
        <v>0</v>
      </c>
      <c r="V60" s="26">
        <v>10</v>
      </c>
      <c r="W60" s="32">
        <f t="shared" si="10"/>
        <v>12.345679012345679</v>
      </c>
    </row>
    <row r="61" spans="1:23" ht="9.75" customHeight="1">
      <c r="A61" s="291"/>
      <c r="B61" s="42" t="s">
        <v>97</v>
      </c>
      <c r="C61" s="26">
        <v>5085</v>
      </c>
      <c r="D61" s="26">
        <v>3411</v>
      </c>
      <c r="E61" s="121">
        <f t="shared" si="0"/>
        <v>67.07964601769912</v>
      </c>
      <c r="F61" s="107">
        <v>1146</v>
      </c>
      <c r="G61" s="27">
        <f t="shared" si="1"/>
        <v>33.5971855760774</v>
      </c>
      <c r="H61" s="26">
        <f t="shared" si="2"/>
        <v>63</v>
      </c>
      <c r="I61" s="29">
        <f t="shared" si="3"/>
        <v>5.49738219895288</v>
      </c>
      <c r="J61" s="26">
        <f t="shared" si="4"/>
        <v>62</v>
      </c>
      <c r="K61" s="29">
        <f t="shared" si="5"/>
        <v>98.4126984126984</v>
      </c>
      <c r="L61" s="26">
        <v>32</v>
      </c>
      <c r="M61" s="26">
        <v>0</v>
      </c>
      <c r="N61" s="26">
        <v>1</v>
      </c>
      <c r="O61" s="26">
        <v>29</v>
      </c>
      <c r="P61" s="26">
        <v>0</v>
      </c>
      <c r="Q61" s="30">
        <v>1</v>
      </c>
      <c r="R61" s="31">
        <f t="shared" si="7"/>
        <v>0</v>
      </c>
      <c r="S61" s="206">
        <v>0</v>
      </c>
      <c r="T61" s="168">
        <f>S61/F61*100</f>
        <v>0</v>
      </c>
      <c r="U61" s="27">
        <f t="shared" si="13"/>
        <v>0</v>
      </c>
      <c r="V61" s="26">
        <v>171</v>
      </c>
      <c r="W61" s="32">
        <f t="shared" si="10"/>
        <v>14.921465968586386</v>
      </c>
    </row>
    <row r="62" spans="1:23" ht="9.75" customHeight="1">
      <c r="A62" s="291"/>
      <c r="B62" s="41" t="s">
        <v>98</v>
      </c>
      <c r="C62" s="260"/>
      <c r="D62" s="260"/>
      <c r="E62" s="265"/>
      <c r="F62" s="108">
        <v>6</v>
      </c>
      <c r="G62" s="271"/>
      <c r="H62" s="105">
        <f t="shared" si="2"/>
        <v>1</v>
      </c>
      <c r="I62" s="106">
        <f t="shared" si="3"/>
        <v>16.666666666666664</v>
      </c>
      <c r="J62" s="105">
        <f t="shared" si="4"/>
        <v>1</v>
      </c>
      <c r="K62" s="106">
        <f t="shared" si="5"/>
        <v>100</v>
      </c>
      <c r="L62" s="105">
        <v>0</v>
      </c>
      <c r="M62" s="105">
        <v>0</v>
      </c>
      <c r="N62" s="105">
        <v>0</v>
      </c>
      <c r="O62" s="105">
        <v>1</v>
      </c>
      <c r="P62" s="105">
        <v>0</v>
      </c>
      <c r="Q62" s="115">
        <v>0</v>
      </c>
      <c r="R62" s="116">
        <f t="shared" si="7"/>
        <v>0</v>
      </c>
      <c r="S62" s="207">
        <v>0</v>
      </c>
      <c r="T62" s="208">
        <f>S62/F62*100</f>
        <v>0</v>
      </c>
      <c r="U62" s="104">
        <f t="shared" si="13"/>
        <v>0</v>
      </c>
      <c r="V62" s="105">
        <v>3</v>
      </c>
      <c r="W62" s="117">
        <f t="shared" si="10"/>
        <v>50</v>
      </c>
    </row>
    <row r="63" spans="1:23" ht="9.75" customHeight="1">
      <c r="A63" s="292"/>
      <c r="B63" s="209" t="s">
        <v>111</v>
      </c>
      <c r="C63" s="210">
        <f>SUM(C59,C61)</f>
        <v>9336</v>
      </c>
      <c r="D63" s="210">
        <f>SUM(D59,D61)</f>
        <v>5666</v>
      </c>
      <c r="E63" s="211">
        <f t="shared" si="0"/>
        <v>60.68980291345329</v>
      </c>
      <c r="F63" s="210">
        <f>SUM(F59,F61)</f>
        <v>1854</v>
      </c>
      <c r="G63" s="212">
        <f t="shared" si="1"/>
        <v>32.72149664666431</v>
      </c>
      <c r="H63" s="210">
        <f t="shared" si="2"/>
        <v>94</v>
      </c>
      <c r="I63" s="56">
        <f t="shared" si="3"/>
        <v>5.070118662351672</v>
      </c>
      <c r="J63" s="210">
        <f t="shared" si="4"/>
        <v>91</v>
      </c>
      <c r="K63" s="56">
        <f t="shared" si="5"/>
        <v>96.80851063829788</v>
      </c>
      <c r="L63" s="210">
        <f aca="true" t="shared" si="26" ref="L63:Q64">SUM(L59,L61)</f>
        <v>42</v>
      </c>
      <c r="M63" s="210">
        <f t="shared" si="26"/>
        <v>0</v>
      </c>
      <c r="N63" s="210">
        <f t="shared" si="26"/>
        <v>2</v>
      </c>
      <c r="O63" s="210">
        <f t="shared" si="26"/>
        <v>47</v>
      </c>
      <c r="P63" s="210">
        <f t="shared" si="26"/>
        <v>0</v>
      </c>
      <c r="Q63" s="213">
        <f t="shared" si="26"/>
        <v>3</v>
      </c>
      <c r="R63" s="214">
        <f t="shared" si="7"/>
        <v>0</v>
      </c>
      <c r="S63" s="210">
        <f>SUM(S59,S61)</f>
        <v>0</v>
      </c>
      <c r="T63" s="216">
        <f>S63/F63*100</f>
        <v>0</v>
      </c>
      <c r="U63" s="212">
        <f t="shared" si="13"/>
        <v>0</v>
      </c>
      <c r="V63" s="210">
        <f>SUM(V59,V61)</f>
        <v>293</v>
      </c>
      <c r="W63" s="227">
        <f t="shared" si="10"/>
        <v>15.803667745415318</v>
      </c>
    </row>
    <row r="64" spans="1:23" ht="9.75" customHeight="1" thickBot="1">
      <c r="A64" s="292"/>
      <c r="B64" s="231" t="s">
        <v>112</v>
      </c>
      <c r="C64" s="262"/>
      <c r="D64" s="262"/>
      <c r="E64" s="263"/>
      <c r="F64" s="232">
        <f>SUM(F60,F62)</f>
        <v>87</v>
      </c>
      <c r="G64" s="272"/>
      <c r="H64" s="232">
        <f t="shared" si="2"/>
        <v>2</v>
      </c>
      <c r="I64" s="93">
        <f t="shared" si="3"/>
        <v>2.2988505747126435</v>
      </c>
      <c r="J64" s="232">
        <f t="shared" si="4"/>
        <v>2</v>
      </c>
      <c r="K64" s="93">
        <f t="shared" si="5"/>
        <v>100</v>
      </c>
      <c r="L64" s="232">
        <f t="shared" si="26"/>
        <v>1</v>
      </c>
      <c r="M64" s="232">
        <f t="shared" si="26"/>
        <v>0</v>
      </c>
      <c r="N64" s="232">
        <f t="shared" si="26"/>
        <v>0</v>
      </c>
      <c r="O64" s="232">
        <f t="shared" si="26"/>
        <v>1</v>
      </c>
      <c r="P64" s="232">
        <f t="shared" si="26"/>
        <v>0</v>
      </c>
      <c r="Q64" s="234">
        <f t="shared" si="26"/>
        <v>0</v>
      </c>
      <c r="R64" s="235">
        <f t="shared" si="7"/>
        <v>0</v>
      </c>
      <c r="S64" s="232">
        <f>SUM(S60,S62)</f>
        <v>0</v>
      </c>
      <c r="T64" s="236">
        <f>S64/F64</f>
        <v>0</v>
      </c>
      <c r="U64" s="233">
        <f t="shared" si="13"/>
        <v>0</v>
      </c>
      <c r="V64" s="232">
        <f>SUM(V60,V62)</f>
        <v>13</v>
      </c>
      <c r="W64" s="339">
        <f t="shared" si="10"/>
        <v>14.942528735632186</v>
      </c>
    </row>
    <row r="65" spans="1:23" ht="9.75" customHeight="1">
      <c r="A65" s="293" t="s">
        <v>34</v>
      </c>
      <c r="B65" s="118" t="s">
        <v>96</v>
      </c>
      <c r="C65" s="125">
        <f>SUM(C47,C53,C59)</f>
        <v>34118</v>
      </c>
      <c r="D65" s="125">
        <f>SUM(D47,D53,D59)</f>
        <v>15143</v>
      </c>
      <c r="E65" s="126">
        <f t="shared" si="0"/>
        <v>44.38419602555836</v>
      </c>
      <c r="F65" s="125">
        <f>SUM(F47,F53,F59)</f>
        <v>4970</v>
      </c>
      <c r="G65" s="127">
        <f t="shared" si="1"/>
        <v>32.82044509014066</v>
      </c>
      <c r="H65" s="125">
        <f t="shared" si="2"/>
        <v>214</v>
      </c>
      <c r="I65" s="128">
        <f t="shared" si="3"/>
        <v>4.305835010060362</v>
      </c>
      <c r="J65" s="125">
        <f t="shared" si="4"/>
        <v>179</v>
      </c>
      <c r="K65" s="128">
        <f t="shared" si="5"/>
        <v>83.64485981308411</v>
      </c>
      <c r="L65" s="125">
        <f aca="true" t="shared" si="27" ref="L65:Q68">SUM(L47,L53,L59)</f>
        <v>66</v>
      </c>
      <c r="M65" s="125">
        <f t="shared" si="27"/>
        <v>4</v>
      </c>
      <c r="N65" s="125">
        <f t="shared" si="27"/>
        <v>4</v>
      </c>
      <c r="O65" s="125">
        <f t="shared" si="27"/>
        <v>105</v>
      </c>
      <c r="P65" s="125">
        <f t="shared" si="27"/>
        <v>15</v>
      </c>
      <c r="Q65" s="129">
        <f t="shared" si="27"/>
        <v>20</v>
      </c>
      <c r="R65" s="130">
        <f t="shared" si="7"/>
        <v>0.08048289738430583</v>
      </c>
      <c r="S65" s="125">
        <f>SUM(S47,S53,S59)</f>
        <v>0</v>
      </c>
      <c r="T65" s="130">
        <f>S65/F65*100</f>
        <v>0</v>
      </c>
      <c r="U65" s="127">
        <f t="shared" si="13"/>
        <v>2.2346368715083798</v>
      </c>
      <c r="V65" s="125">
        <f>SUM(V47,V53,V59)</f>
        <v>917</v>
      </c>
      <c r="W65" s="131">
        <f t="shared" si="10"/>
        <v>18.450704225352112</v>
      </c>
    </row>
    <row r="66" spans="1:23" ht="9.75" customHeight="1">
      <c r="A66" s="294"/>
      <c r="B66" s="119" t="s">
        <v>99</v>
      </c>
      <c r="C66" s="258"/>
      <c r="D66" s="258"/>
      <c r="E66" s="264"/>
      <c r="F66" s="20">
        <f>SUM(F48,F54,F60)</f>
        <v>370</v>
      </c>
      <c r="G66" s="270"/>
      <c r="H66" s="20">
        <f t="shared" si="2"/>
        <v>4</v>
      </c>
      <c r="I66" s="22">
        <f t="shared" si="3"/>
        <v>1.0810810810810811</v>
      </c>
      <c r="J66" s="20">
        <f t="shared" si="4"/>
        <v>3</v>
      </c>
      <c r="K66" s="22">
        <f t="shared" si="5"/>
        <v>75</v>
      </c>
      <c r="L66" s="20">
        <f t="shared" si="27"/>
        <v>2</v>
      </c>
      <c r="M66" s="20">
        <f t="shared" si="27"/>
        <v>0</v>
      </c>
      <c r="N66" s="20">
        <f t="shared" si="27"/>
        <v>0</v>
      </c>
      <c r="O66" s="20">
        <f t="shared" si="27"/>
        <v>1</v>
      </c>
      <c r="P66" s="20">
        <f t="shared" si="27"/>
        <v>1</v>
      </c>
      <c r="Q66" s="23">
        <f t="shared" si="27"/>
        <v>0</v>
      </c>
      <c r="R66" s="24">
        <f t="shared" si="7"/>
        <v>0</v>
      </c>
      <c r="S66" s="20">
        <f>SUM(S48,S54,S60)</f>
        <v>0</v>
      </c>
      <c r="T66" s="166">
        <f>S66/F66*100</f>
        <v>0</v>
      </c>
      <c r="U66" s="21">
        <f t="shared" si="13"/>
        <v>0</v>
      </c>
      <c r="V66" s="20">
        <f>SUM(V48,V54,V60)</f>
        <v>83</v>
      </c>
      <c r="W66" s="25">
        <f t="shared" si="10"/>
        <v>22.432432432432435</v>
      </c>
    </row>
    <row r="67" spans="1:23" ht="9.75" customHeight="1">
      <c r="A67" s="294"/>
      <c r="B67" s="119" t="s">
        <v>97</v>
      </c>
      <c r="C67" s="20">
        <f>SUM(C49,C55,C61)</f>
        <v>39994</v>
      </c>
      <c r="D67" s="20">
        <f>SUM(D49,D55,D61)</f>
        <v>25280</v>
      </c>
      <c r="E67" s="237">
        <f t="shared" si="0"/>
        <v>63.20948142221333</v>
      </c>
      <c r="F67" s="20">
        <f>SUM(F49,F55,F61)</f>
        <v>10612</v>
      </c>
      <c r="G67" s="21">
        <f t="shared" si="1"/>
        <v>41.97784810126583</v>
      </c>
      <c r="H67" s="20">
        <f t="shared" si="2"/>
        <v>290</v>
      </c>
      <c r="I67" s="22">
        <f t="shared" si="3"/>
        <v>2.7327553712777988</v>
      </c>
      <c r="J67" s="20">
        <f t="shared" si="4"/>
        <v>254</v>
      </c>
      <c r="K67" s="22">
        <f t="shared" si="5"/>
        <v>87.58620689655172</v>
      </c>
      <c r="L67" s="20">
        <f t="shared" si="27"/>
        <v>100</v>
      </c>
      <c r="M67" s="20">
        <f t="shared" si="27"/>
        <v>4</v>
      </c>
      <c r="N67" s="20">
        <f t="shared" si="27"/>
        <v>8</v>
      </c>
      <c r="O67" s="20">
        <f t="shared" si="27"/>
        <v>142</v>
      </c>
      <c r="P67" s="20">
        <f t="shared" si="27"/>
        <v>20</v>
      </c>
      <c r="Q67" s="23">
        <f t="shared" si="27"/>
        <v>16</v>
      </c>
      <c r="R67" s="24">
        <f t="shared" si="7"/>
        <v>0.03769317753486619</v>
      </c>
      <c r="S67" s="20">
        <f>SUM(S49,S55,S61)</f>
        <v>0</v>
      </c>
      <c r="T67" s="166">
        <f>S67/F67*100</f>
        <v>0</v>
      </c>
      <c r="U67" s="21">
        <f t="shared" si="13"/>
        <v>1.574803149606299</v>
      </c>
      <c r="V67" s="20">
        <f>SUM(V49,V55,V61)</f>
        <v>1399</v>
      </c>
      <c r="W67" s="25">
        <f t="shared" si="10"/>
        <v>13.18318884281945</v>
      </c>
    </row>
    <row r="68" spans="1:23" ht="9.75" customHeight="1">
      <c r="A68" s="294"/>
      <c r="B68" s="120" t="s">
        <v>98</v>
      </c>
      <c r="C68" s="258"/>
      <c r="D68" s="258"/>
      <c r="E68" s="265"/>
      <c r="F68" s="20">
        <f>SUM(F50,F56,F62)</f>
        <v>25</v>
      </c>
      <c r="G68" s="271"/>
      <c r="H68" s="133">
        <f t="shared" si="2"/>
        <v>1</v>
      </c>
      <c r="I68" s="135">
        <f t="shared" si="3"/>
        <v>4</v>
      </c>
      <c r="J68" s="133">
        <f t="shared" si="4"/>
        <v>1</v>
      </c>
      <c r="K68" s="135">
        <f t="shared" si="5"/>
        <v>100</v>
      </c>
      <c r="L68" s="20">
        <f t="shared" si="27"/>
        <v>0</v>
      </c>
      <c r="M68" s="20">
        <f t="shared" si="27"/>
        <v>0</v>
      </c>
      <c r="N68" s="20">
        <f t="shared" si="27"/>
        <v>0</v>
      </c>
      <c r="O68" s="20">
        <f t="shared" si="27"/>
        <v>1</v>
      </c>
      <c r="P68" s="20">
        <f t="shared" si="27"/>
        <v>0</v>
      </c>
      <c r="Q68" s="138">
        <f t="shared" si="27"/>
        <v>0</v>
      </c>
      <c r="R68" s="136">
        <f t="shared" si="7"/>
        <v>0</v>
      </c>
      <c r="S68" s="20">
        <f>SUM(S50,S56,S62)</f>
        <v>0</v>
      </c>
      <c r="T68" s="167">
        <f>S68/F68*100</f>
        <v>0</v>
      </c>
      <c r="U68" s="134">
        <f t="shared" si="13"/>
        <v>0</v>
      </c>
      <c r="V68" s="20">
        <f>SUM(V50,V56,V62)</f>
        <v>3</v>
      </c>
      <c r="W68" s="137">
        <f t="shared" si="10"/>
        <v>12</v>
      </c>
    </row>
    <row r="69" spans="1:23" ht="9.75" customHeight="1">
      <c r="A69" s="295"/>
      <c r="B69" s="228" t="s">
        <v>111</v>
      </c>
      <c r="C69" s="238">
        <f>SUM(C65,C67)</f>
        <v>74112</v>
      </c>
      <c r="D69" s="238">
        <f>SUM(D65,D67)</f>
        <v>40423</v>
      </c>
      <c r="E69" s="253">
        <f t="shared" si="0"/>
        <v>54.543123920552674</v>
      </c>
      <c r="F69" s="238">
        <f>SUM(F65,F67)</f>
        <v>15582</v>
      </c>
      <c r="G69" s="239">
        <f aca="true" t="shared" si="28" ref="G69:G131">F69/D69*100</f>
        <v>38.54736165054548</v>
      </c>
      <c r="H69" s="238">
        <f t="shared" si="2"/>
        <v>504</v>
      </c>
      <c r="I69" s="240">
        <f t="shared" si="3"/>
        <v>3.234501347708895</v>
      </c>
      <c r="J69" s="238">
        <f t="shared" si="4"/>
        <v>433</v>
      </c>
      <c r="K69" s="240">
        <f aca="true" t="shared" si="29" ref="K69:K132">J69/H69*100</f>
        <v>85.9126984126984</v>
      </c>
      <c r="L69" s="238">
        <f aca="true" t="shared" si="30" ref="L69:Q70">SUM(L65,L67)</f>
        <v>166</v>
      </c>
      <c r="M69" s="238">
        <f t="shared" si="30"/>
        <v>8</v>
      </c>
      <c r="N69" s="238">
        <f t="shared" si="30"/>
        <v>12</v>
      </c>
      <c r="O69" s="238">
        <f t="shared" si="30"/>
        <v>247</v>
      </c>
      <c r="P69" s="238">
        <f t="shared" si="30"/>
        <v>35</v>
      </c>
      <c r="Q69" s="241">
        <f t="shared" si="30"/>
        <v>36</v>
      </c>
      <c r="R69" s="242">
        <f aca="true" t="shared" si="31" ref="R69:R132">M69/F69*100</f>
        <v>0.051341291233474515</v>
      </c>
      <c r="S69" s="238">
        <f>SUM(S65,S67)</f>
        <v>0</v>
      </c>
      <c r="T69" s="243">
        <f>S69/F69*100</f>
        <v>0</v>
      </c>
      <c r="U69" s="239">
        <f t="shared" si="13"/>
        <v>1.8475750577367205</v>
      </c>
      <c r="V69" s="238">
        <f>SUM(V65,V67)</f>
        <v>2316</v>
      </c>
      <c r="W69" s="244">
        <f aca="true" t="shared" si="32" ref="W69:W132">V69/F69*100</f>
        <v>14.863303812090875</v>
      </c>
    </row>
    <row r="70" spans="1:23" ht="9.75" customHeight="1" thickBot="1">
      <c r="A70" s="296"/>
      <c r="B70" s="229" t="s">
        <v>112</v>
      </c>
      <c r="C70" s="262"/>
      <c r="D70" s="262"/>
      <c r="E70" s="269"/>
      <c r="F70" s="245">
        <f>SUM(F66,F68)</f>
        <v>395</v>
      </c>
      <c r="G70" s="272"/>
      <c r="H70" s="245">
        <f t="shared" si="2"/>
        <v>5</v>
      </c>
      <c r="I70" s="247">
        <f t="shared" si="3"/>
        <v>1.2658227848101267</v>
      </c>
      <c r="J70" s="245">
        <f t="shared" si="4"/>
        <v>4</v>
      </c>
      <c r="K70" s="247">
        <f t="shared" si="29"/>
        <v>80</v>
      </c>
      <c r="L70" s="245">
        <f t="shared" si="30"/>
        <v>2</v>
      </c>
      <c r="M70" s="245">
        <f t="shared" si="30"/>
        <v>0</v>
      </c>
      <c r="N70" s="245">
        <f t="shared" si="30"/>
        <v>0</v>
      </c>
      <c r="O70" s="245">
        <f t="shared" si="30"/>
        <v>2</v>
      </c>
      <c r="P70" s="245">
        <f t="shared" si="30"/>
        <v>1</v>
      </c>
      <c r="Q70" s="248">
        <f t="shared" si="30"/>
        <v>0</v>
      </c>
      <c r="R70" s="249">
        <f t="shared" si="31"/>
        <v>0</v>
      </c>
      <c r="S70" s="245">
        <f>SUM(S66,S68)</f>
        <v>0</v>
      </c>
      <c r="T70" s="250">
        <f>S70/F70</f>
        <v>0</v>
      </c>
      <c r="U70" s="246">
        <f t="shared" si="13"/>
        <v>0</v>
      </c>
      <c r="V70" s="245">
        <f>SUM(V66,V68)</f>
        <v>86</v>
      </c>
      <c r="W70" s="251">
        <f t="shared" si="32"/>
        <v>21.772151898734176</v>
      </c>
    </row>
    <row r="71" spans="1:23" ht="9.75" customHeight="1">
      <c r="A71" s="297" t="s">
        <v>15</v>
      </c>
      <c r="B71" s="41" t="s">
        <v>96</v>
      </c>
      <c r="C71" s="111">
        <v>11188</v>
      </c>
      <c r="D71" s="111">
        <v>4860</v>
      </c>
      <c r="E71" s="121">
        <f t="shared" si="0"/>
        <v>43.43939935645334</v>
      </c>
      <c r="F71" s="122">
        <v>1720</v>
      </c>
      <c r="G71" s="113">
        <f t="shared" si="28"/>
        <v>35.390946502057616</v>
      </c>
      <c r="H71" s="111">
        <f t="shared" si="2"/>
        <v>135</v>
      </c>
      <c r="I71" s="123">
        <f t="shared" si="3"/>
        <v>7.848837209302325</v>
      </c>
      <c r="J71" s="111">
        <f t="shared" si="4"/>
        <v>131</v>
      </c>
      <c r="K71" s="123">
        <f t="shared" si="29"/>
        <v>97.03703703703704</v>
      </c>
      <c r="L71" s="111">
        <v>34</v>
      </c>
      <c r="M71" s="111">
        <v>7</v>
      </c>
      <c r="N71" s="111">
        <v>1</v>
      </c>
      <c r="O71" s="111">
        <v>89</v>
      </c>
      <c r="P71" s="111">
        <v>3</v>
      </c>
      <c r="Q71" s="124">
        <v>1</v>
      </c>
      <c r="R71" s="112">
        <f t="shared" si="31"/>
        <v>0.4069767441860465</v>
      </c>
      <c r="S71" s="205">
        <v>0</v>
      </c>
      <c r="T71" s="112">
        <f>S71/F71*100</f>
        <v>0</v>
      </c>
      <c r="U71" s="113">
        <f t="shared" si="13"/>
        <v>5.343511450381679</v>
      </c>
      <c r="V71" s="111">
        <v>349</v>
      </c>
      <c r="W71" s="114">
        <f t="shared" si="32"/>
        <v>20.290697674418603</v>
      </c>
    </row>
    <row r="72" spans="1:23" ht="9.75" customHeight="1">
      <c r="A72" s="298"/>
      <c r="B72" s="42" t="s">
        <v>99</v>
      </c>
      <c r="C72" s="258"/>
      <c r="D72" s="258"/>
      <c r="E72" s="264"/>
      <c r="F72" s="107">
        <v>216</v>
      </c>
      <c r="G72" s="270"/>
      <c r="H72" s="26">
        <f t="shared" si="2"/>
        <v>19</v>
      </c>
      <c r="I72" s="29">
        <f t="shared" si="3"/>
        <v>8.796296296296296</v>
      </c>
      <c r="J72" s="26">
        <f t="shared" si="4"/>
        <v>19</v>
      </c>
      <c r="K72" s="29">
        <f t="shared" si="29"/>
        <v>100</v>
      </c>
      <c r="L72" s="26">
        <v>16</v>
      </c>
      <c r="M72" s="26">
        <v>0</v>
      </c>
      <c r="N72" s="26">
        <v>0</v>
      </c>
      <c r="O72" s="26">
        <v>3</v>
      </c>
      <c r="P72" s="26">
        <v>0</v>
      </c>
      <c r="Q72" s="30">
        <v>0</v>
      </c>
      <c r="R72" s="31">
        <f t="shared" si="31"/>
        <v>0</v>
      </c>
      <c r="S72" s="206">
        <v>0</v>
      </c>
      <c r="T72" s="168">
        <f>S72/F72*100</f>
        <v>0</v>
      </c>
      <c r="U72" s="27">
        <f t="shared" si="13"/>
        <v>0</v>
      </c>
      <c r="V72" s="26">
        <v>9</v>
      </c>
      <c r="W72" s="32">
        <f t="shared" si="32"/>
        <v>4.166666666666666</v>
      </c>
    </row>
    <row r="73" spans="1:23" ht="9.75" customHeight="1">
      <c r="A73" s="298"/>
      <c r="B73" s="42" t="s">
        <v>97</v>
      </c>
      <c r="C73" s="26">
        <v>13414</v>
      </c>
      <c r="D73" s="26">
        <v>8472</v>
      </c>
      <c r="E73" s="121">
        <f t="shared" si="0"/>
        <v>63.1578947368421</v>
      </c>
      <c r="F73" s="107">
        <v>4027</v>
      </c>
      <c r="G73" s="27">
        <f t="shared" si="28"/>
        <v>47.53305004721435</v>
      </c>
      <c r="H73" s="26">
        <f t="shared" si="2"/>
        <v>251</v>
      </c>
      <c r="I73" s="29">
        <f t="shared" si="3"/>
        <v>6.232927737770052</v>
      </c>
      <c r="J73" s="26">
        <f t="shared" si="4"/>
        <v>242</v>
      </c>
      <c r="K73" s="29">
        <f t="shared" si="29"/>
        <v>96.41434262948208</v>
      </c>
      <c r="L73" s="26">
        <v>96</v>
      </c>
      <c r="M73" s="26">
        <v>1</v>
      </c>
      <c r="N73" s="26">
        <v>2</v>
      </c>
      <c r="O73" s="26">
        <v>143</v>
      </c>
      <c r="P73" s="26">
        <v>6</v>
      </c>
      <c r="Q73" s="30">
        <v>3</v>
      </c>
      <c r="R73" s="31">
        <f t="shared" si="31"/>
        <v>0.024832381425378695</v>
      </c>
      <c r="S73" s="206">
        <v>0</v>
      </c>
      <c r="T73" s="168">
        <f>S73/F73*100</f>
        <v>0</v>
      </c>
      <c r="U73" s="27">
        <f t="shared" si="13"/>
        <v>0.4132231404958678</v>
      </c>
      <c r="V73" s="26">
        <v>670</v>
      </c>
      <c r="W73" s="32">
        <f t="shared" si="32"/>
        <v>16.637695555003727</v>
      </c>
    </row>
    <row r="74" spans="1:23" ht="9.75" customHeight="1">
      <c r="A74" s="298"/>
      <c r="B74" s="41" t="s">
        <v>98</v>
      </c>
      <c r="C74" s="260"/>
      <c r="D74" s="260"/>
      <c r="E74" s="265"/>
      <c r="F74" s="108">
        <v>23</v>
      </c>
      <c r="G74" s="271"/>
      <c r="H74" s="105">
        <f t="shared" si="2"/>
        <v>0</v>
      </c>
      <c r="I74" s="106">
        <f t="shared" si="3"/>
        <v>0</v>
      </c>
      <c r="J74" s="105">
        <f t="shared" si="4"/>
        <v>0</v>
      </c>
      <c r="K74" s="106" t="e">
        <f t="shared" si="29"/>
        <v>#DIV/0!</v>
      </c>
      <c r="L74" s="105">
        <v>0</v>
      </c>
      <c r="M74" s="105">
        <v>0</v>
      </c>
      <c r="N74" s="105">
        <v>0</v>
      </c>
      <c r="O74" s="105">
        <v>0</v>
      </c>
      <c r="P74" s="105">
        <v>0</v>
      </c>
      <c r="Q74" s="115">
        <v>0</v>
      </c>
      <c r="R74" s="116">
        <f t="shared" si="31"/>
        <v>0</v>
      </c>
      <c r="S74" s="207">
        <v>0</v>
      </c>
      <c r="T74" s="208">
        <f>S74/F74*100</f>
        <v>0</v>
      </c>
      <c r="U74" s="104" t="e">
        <f t="shared" si="13"/>
        <v>#DIV/0!</v>
      </c>
      <c r="V74" s="105">
        <v>1</v>
      </c>
      <c r="W74" s="117">
        <f t="shared" si="32"/>
        <v>4.3478260869565215</v>
      </c>
    </row>
    <row r="75" spans="1:23" ht="9.75" customHeight="1">
      <c r="A75" s="298"/>
      <c r="B75" s="209" t="s">
        <v>111</v>
      </c>
      <c r="C75" s="210">
        <f>SUM(C71,C73)</f>
        <v>24602</v>
      </c>
      <c r="D75" s="210">
        <f>SUM(D71,D73)</f>
        <v>13332</v>
      </c>
      <c r="E75" s="211">
        <f t="shared" si="0"/>
        <v>54.1907162019348</v>
      </c>
      <c r="F75" s="210">
        <f>SUM(F71,F73)</f>
        <v>5747</v>
      </c>
      <c r="G75" s="212">
        <f t="shared" si="28"/>
        <v>43.10681068106811</v>
      </c>
      <c r="H75" s="210">
        <f t="shared" si="2"/>
        <v>386</v>
      </c>
      <c r="I75" s="56">
        <f t="shared" si="3"/>
        <v>6.7165477640508096</v>
      </c>
      <c r="J75" s="210">
        <f t="shared" si="4"/>
        <v>373</v>
      </c>
      <c r="K75" s="56">
        <f t="shared" si="29"/>
        <v>96.6321243523316</v>
      </c>
      <c r="L75" s="210">
        <f aca="true" t="shared" si="33" ref="L75:Q76">SUM(L71,L73)</f>
        <v>130</v>
      </c>
      <c r="M75" s="210">
        <f t="shared" si="33"/>
        <v>8</v>
      </c>
      <c r="N75" s="210">
        <f t="shared" si="33"/>
        <v>3</v>
      </c>
      <c r="O75" s="210">
        <f t="shared" si="33"/>
        <v>232</v>
      </c>
      <c r="P75" s="210">
        <f t="shared" si="33"/>
        <v>9</v>
      </c>
      <c r="Q75" s="213">
        <f t="shared" si="33"/>
        <v>4</v>
      </c>
      <c r="R75" s="214">
        <f t="shared" si="31"/>
        <v>0.1392030624673743</v>
      </c>
      <c r="S75" s="210">
        <f>SUM(S71,S73)</f>
        <v>0</v>
      </c>
      <c r="T75" s="216">
        <f>S75/F75*100</f>
        <v>0</v>
      </c>
      <c r="U75" s="212">
        <f t="shared" si="13"/>
        <v>2.1447721179624666</v>
      </c>
      <c r="V75" s="210">
        <f>SUM(V71,V73)</f>
        <v>1019</v>
      </c>
      <c r="W75" s="227">
        <f t="shared" si="32"/>
        <v>17.7309900817818</v>
      </c>
    </row>
    <row r="76" spans="1:23" ht="9.75" customHeight="1">
      <c r="A76" s="298"/>
      <c r="B76" s="217" t="s">
        <v>112</v>
      </c>
      <c r="C76" s="266"/>
      <c r="D76" s="266"/>
      <c r="E76" s="268"/>
      <c r="F76" s="218">
        <f>SUM(F72,F74)</f>
        <v>239</v>
      </c>
      <c r="G76" s="273"/>
      <c r="H76" s="218">
        <f t="shared" si="2"/>
        <v>19</v>
      </c>
      <c r="I76" s="220">
        <f t="shared" si="3"/>
        <v>7.949790794979079</v>
      </c>
      <c r="J76" s="218">
        <f t="shared" si="4"/>
        <v>19</v>
      </c>
      <c r="K76" s="220">
        <f t="shared" si="29"/>
        <v>100</v>
      </c>
      <c r="L76" s="218">
        <f t="shared" si="33"/>
        <v>16</v>
      </c>
      <c r="M76" s="218">
        <f t="shared" si="33"/>
        <v>0</v>
      </c>
      <c r="N76" s="218">
        <f t="shared" si="33"/>
        <v>0</v>
      </c>
      <c r="O76" s="218">
        <f t="shared" si="33"/>
        <v>3</v>
      </c>
      <c r="P76" s="218">
        <f t="shared" si="33"/>
        <v>0</v>
      </c>
      <c r="Q76" s="221">
        <f t="shared" si="33"/>
        <v>0</v>
      </c>
      <c r="R76" s="222">
        <f t="shared" si="31"/>
        <v>0</v>
      </c>
      <c r="S76" s="218">
        <f>SUM(S72,S74)</f>
        <v>0</v>
      </c>
      <c r="T76" s="169">
        <f>S76/F76</f>
        <v>0</v>
      </c>
      <c r="U76" s="219">
        <f t="shared" si="13"/>
        <v>0</v>
      </c>
      <c r="V76" s="218">
        <f>SUM(V72,V74)</f>
        <v>10</v>
      </c>
      <c r="W76" s="338">
        <f t="shared" si="32"/>
        <v>4.184100418410042</v>
      </c>
    </row>
    <row r="77" spans="1:23" ht="9.75" customHeight="1">
      <c r="A77" s="291" t="s">
        <v>90</v>
      </c>
      <c r="B77" s="41" t="s">
        <v>96</v>
      </c>
      <c r="C77" s="111">
        <v>12176</v>
      </c>
      <c r="D77" s="111">
        <v>3083</v>
      </c>
      <c r="E77" s="121">
        <f t="shared" si="0"/>
        <v>25.32030223390276</v>
      </c>
      <c r="F77" s="122">
        <v>2661</v>
      </c>
      <c r="G77" s="113">
        <f t="shared" si="28"/>
        <v>86.31203373337658</v>
      </c>
      <c r="H77" s="111">
        <f t="shared" si="2"/>
        <v>27</v>
      </c>
      <c r="I77" s="123">
        <f t="shared" si="3"/>
        <v>1.0146561443066515</v>
      </c>
      <c r="J77" s="111">
        <f t="shared" si="4"/>
        <v>23</v>
      </c>
      <c r="K77" s="123">
        <f t="shared" si="29"/>
        <v>85.18518518518519</v>
      </c>
      <c r="L77" s="111">
        <v>7</v>
      </c>
      <c r="M77" s="111">
        <v>2</v>
      </c>
      <c r="N77" s="111">
        <v>2</v>
      </c>
      <c r="O77" s="111">
        <v>12</v>
      </c>
      <c r="P77" s="111">
        <v>1</v>
      </c>
      <c r="Q77" s="124">
        <v>3</v>
      </c>
      <c r="R77" s="112">
        <f t="shared" si="31"/>
        <v>0.0751597143930853</v>
      </c>
      <c r="S77" s="205">
        <v>1</v>
      </c>
      <c r="T77" s="112">
        <f>S77/F77*100</f>
        <v>0.03757985719654265</v>
      </c>
      <c r="U77" s="113">
        <f t="shared" si="13"/>
        <v>8.695652173913043</v>
      </c>
      <c r="V77" s="111">
        <v>392</v>
      </c>
      <c r="W77" s="114">
        <f t="shared" si="32"/>
        <v>14.73130402104472</v>
      </c>
    </row>
    <row r="78" spans="1:23" ht="9.75" customHeight="1">
      <c r="A78" s="291"/>
      <c r="B78" s="42" t="s">
        <v>99</v>
      </c>
      <c r="C78" s="258"/>
      <c r="D78" s="258"/>
      <c r="E78" s="264"/>
      <c r="F78" s="107">
        <v>395</v>
      </c>
      <c r="G78" s="270"/>
      <c r="H78" s="26">
        <f t="shared" si="2"/>
        <v>0</v>
      </c>
      <c r="I78" s="29">
        <f t="shared" si="3"/>
        <v>0</v>
      </c>
      <c r="J78" s="26">
        <f t="shared" si="4"/>
        <v>0</v>
      </c>
      <c r="K78" s="29" t="e">
        <f t="shared" si="29"/>
        <v>#DIV/0!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30">
        <v>0</v>
      </c>
      <c r="R78" s="31">
        <f t="shared" si="31"/>
        <v>0</v>
      </c>
      <c r="S78" s="206">
        <v>0</v>
      </c>
      <c r="T78" s="168">
        <f>S78/F78*100</f>
        <v>0</v>
      </c>
      <c r="U78" s="27" t="e">
        <f t="shared" si="13"/>
        <v>#DIV/0!</v>
      </c>
      <c r="V78" s="26">
        <v>16</v>
      </c>
      <c r="W78" s="32">
        <f t="shared" si="32"/>
        <v>4.050632911392405</v>
      </c>
    </row>
    <row r="79" spans="1:23" ht="9.75" customHeight="1">
      <c r="A79" s="291"/>
      <c r="B79" s="42" t="s">
        <v>97</v>
      </c>
      <c r="C79" s="26">
        <v>14152</v>
      </c>
      <c r="D79" s="26">
        <v>5386</v>
      </c>
      <c r="E79" s="121">
        <f t="shared" si="0"/>
        <v>38.058224985867724</v>
      </c>
      <c r="F79" s="107">
        <v>4620</v>
      </c>
      <c r="G79" s="27">
        <f t="shared" si="28"/>
        <v>85.77794281470479</v>
      </c>
      <c r="H79" s="26">
        <f t="shared" si="2"/>
        <v>7</v>
      </c>
      <c r="I79" s="29">
        <f t="shared" si="3"/>
        <v>0.15151515151515152</v>
      </c>
      <c r="J79" s="26">
        <f t="shared" si="4"/>
        <v>6</v>
      </c>
      <c r="K79" s="29">
        <f t="shared" si="29"/>
        <v>85.71428571428571</v>
      </c>
      <c r="L79" s="26">
        <v>1</v>
      </c>
      <c r="M79" s="26">
        <v>2</v>
      </c>
      <c r="N79" s="26">
        <v>1</v>
      </c>
      <c r="O79" s="26">
        <v>2</v>
      </c>
      <c r="P79" s="26">
        <v>1</v>
      </c>
      <c r="Q79" s="30">
        <v>0</v>
      </c>
      <c r="R79" s="31">
        <f t="shared" si="31"/>
        <v>0.04329004329004329</v>
      </c>
      <c r="S79" s="206">
        <v>1</v>
      </c>
      <c r="T79" s="168">
        <f>S79/F79*100</f>
        <v>0.021645021645021644</v>
      </c>
      <c r="U79" s="27">
        <f t="shared" si="13"/>
        <v>33.33333333333333</v>
      </c>
      <c r="V79" s="26">
        <v>628</v>
      </c>
      <c r="W79" s="32">
        <f t="shared" si="32"/>
        <v>13.593073593073592</v>
      </c>
    </row>
    <row r="80" spans="1:23" ht="9.75" customHeight="1">
      <c r="A80" s="291"/>
      <c r="B80" s="41" t="s">
        <v>98</v>
      </c>
      <c r="C80" s="260"/>
      <c r="D80" s="260"/>
      <c r="E80" s="265"/>
      <c r="F80" s="108">
        <v>104</v>
      </c>
      <c r="G80" s="271"/>
      <c r="H80" s="105">
        <f t="shared" si="2"/>
        <v>0</v>
      </c>
      <c r="I80" s="106">
        <f t="shared" si="3"/>
        <v>0</v>
      </c>
      <c r="J80" s="105">
        <f t="shared" si="4"/>
        <v>0</v>
      </c>
      <c r="K80" s="106" t="e">
        <f t="shared" si="29"/>
        <v>#DIV/0!</v>
      </c>
      <c r="L80" s="105">
        <v>0</v>
      </c>
      <c r="M80" s="105">
        <v>0</v>
      </c>
      <c r="N80" s="105">
        <v>0</v>
      </c>
      <c r="O80" s="105">
        <v>0</v>
      </c>
      <c r="P80" s="105">
        <v>0</v>
      </c>
      <c r="Q80" s="115">
        <v>0</v>
      </c>
      <c r="R80" s="116">
        <f t="shared" si="31"/>
        <v>0</v>
      </c>
      <c r="S80" s="207">
        <v>0</v>
      </c>
      <c r="T80" s="208">
        <f>S80/F80*100</f>
        <v>0</v>
      </c>
      <c r="U80" s="104" t="e">
        <f t="shared" si="13"/>
        <v>#DIV/0!</v>
      </c>
      <c r="V80" s="105">
        <v>16</v>
      </c>
      <c r="W80" s="117">
        <f t="shared" si="32"/>
        <v>15.384615384615385</v>
      </c>
    </row>
    <row r="81" spans="1:23" ht="9.75" customHeight="1">
      <c r="A81" s="291"/>
      <c r="B81" s="209" t="s">
        <v>111</v>
      </c>
      <c r="C81" s="210">
        <f>SUM(C77,C79)</f>
        <v>26328</v>
      </c>
      <c r="D81" s="210">
        <f>SUM(D77,D79)</f>
        <v>8469</v>
      </c>
      <c r="E81" s="211">
        <f aca="true" t="shared" si="34" ref="E81:E143">D81/C81*100</f>
        <v>32.167274384685506</v>
      </c>
      <c r="F81" s="210">
        <f>SUM(F77,F79)</f>
        <v>7281</v>
      </c>
      <c r="G81" s="212">
        <f t="shared" si="28"/>
        <v>85.97236981934113</v>
      </c>
      <c r="H81" s="210">
        <f aca="true" t="shared" si="35" ref="H81:H144">SUM(L81:Q81)</f>
        <v>34</v>
      </c>
      <c r="I81" s="56">
        <f aca="true" t="shared" si="36" ref="I81:I144">H81/F81*100</f>
        <v>0.46696882296387865</v>
      </c>
      <c r="J81" s="210">
        <f aca="true" t="shared" si="37" ref="J81:J144">SUM(L81:O81)</f>
        <v>29</v>
      </c>
      <c r="K81" s="56">
        <f t="shared" si="29"/>
        <v>85.29411764705883</v>
      </c>
      <c r="L81" s="210">
        <f aca="true" t="shared" si="38" ref="L81:Q82">SUM(L77,L79)</f>
        <v>8</v>
      </c>
      <c r="M81" s="210">
        <f t="shared" si="38"/>
        <v>4</v>
      </c>
      <c r="N81" s="210">
        <f t="shared" si="38"/>
        <v>3</v>
      </c>
      <c r="O81" s="210">
        <f t="shared" si="38"/>
        <v>14</v>
      </c>
      <c r="P81" s="210">
        <f t="shared" si="38"/>
        <v>2</v>
      </c>
      <c r="Q81" s="213">
        <f t="shared" si="38"/>
        <v>3</v>
      </c>
      <c r="R81" s="214">
        <f t="shared" si="31"/>
        <v>0.05493750858398572</v>
      </c>
      <c r="S81" s="210">
        <f>SUM(S77,S79)</f>
        <v>2</v>
      </c>
      <c r="T81" s="216">
        <f>S81/F81*100</f>
        <v>0.02746875429199286</v>
      </c>
      <c r="U81" s="212">
        <f aca="true" t="shared" si="39" ref="U81:U144">M81/J81*100</f>
        <v>13.793103448275861</v>
      </c>
      <c r="V81" s="210">
        <f>SUM(V77,V79)</f>
        <v>1020</v>
      </c>
      <c r="W81" s="227">
        <f t="shared" si="32"/>
        <v>14.009064688916359</v>
      </c>
    </row>
    <row r="82" spans="1:23" ht="9.75" customHeight="1">
      <c r="A82" s="291"/>
      <c r="B82" s="217" t="s">
        <v>112</v>
      </c>
      <c r="C82" s="266"/>
      <c r="D82" s="266"/>
      <c r="E82" s="268"/>
      <c r="F82" s="218">
        <f>SUM(F78,F80)</f>
        <v>499</v>
      </c>
      <c r="G82" s="273"/>
      <c r="H82" s="218">
        <f t="shared" si="35"/>
        <v>0</v>
      </c>
      <c r="I82" s="220">
        <f t="shared" si="36"/>
        <v>0</v>
      </c>
      <c r="J82" s="218">
        <f t="shared" si="37"/>
        <v>0</v>
      </c>
      <c r="K82" s="220" t="e">
        <f t="shared" si="29"/>
        <v>#DIV/0!</v>
      </c>
      <c r="L82" s="218">
        <f t="shared" si="38"/>
        <v>0</v>
      </c>
      <c r="M82" s="218">
        <f t="shared" si="38"/>
        <v>0</v>
      </c>
      <c r="N82" s="218">
        <f t="shared" si="38"/>
        <v>0</v>
      </c>
      <c r="O82" s="218">
        <f t="shared" si="38"/>
        <v>0</v>
      </c>
      <c r="P82" s="218">
        <f t="shared" si="38"/>
        <v>0</v>
      </c>
      <c r="Q82" s="221">
        <f t="shared" si="38"/>
        <v>0</v>
      </c>
      <c r="R82" s="222">
        <f t="shared" si="31"/>
        <v>0</v>
      </c>
      <c r="S82" s="218">
        <f>SUM(S78,S80)</f>
        <v>0</v>
      </c>
      <c r="T82" s="169">
        <f>S82/F82</f>
        <v>0</v>
      </c>
      <c r="U82" s="219" t="e">
        <f t="shared" si="39"/>
        <v>#DIV/0!</v>
      </c>
      <c r="V82" s="218">
        <f>SUM(V78,V80)</f>
        <v>32</v>
      </c>
      <c r="W82" s="338">
        <f t="shared" si="32"/>
        <v>6.4128256513026045</v>
      </c>
    </row>
    <row r="83" spans="1:23" ht="9.75" customHeight="1">
      <c r="A83" s="298" t="s">
        <v>16</v>
      </c>
      <c r="B83" s="41" t="s">
        <v>96</v>
      </c>
      <c r="C83" s="111">
        <v>4539</v>
      </c>
      <c r="D83" s="111">
        <v>2097</v>
      </c>
      <c r="E83" s="121">
        <f t="shared" si="34"/>
        <v>46.19960343688037</v>
      </c>
      <c r="F83" s="122">
        <v>854</v>
      </c>
      <c r="G83" s="113">
        <f t="shared" si="28"/>
        <v>40.72484501669051</v>
      </c>
      <c r="H83" s="111">
        <f t="shared" si="35"/>
        <v>60</v>
      </c>
      <c r="I83" s="123">
        <f t="shared" si="36"/>
        <v>7.02576112412178</v>
      </c>
      <c r="J83" s="111">
        <f t="shared" si="37"/>
        <v>52</v>
      </c>
      <c r="K83" s="123">
        <f t="shared" si="29"/>
        <v>86.66666666666667</v>
      </c>
      <c r="L83" s="111">
        <v>9</v>
      </c>
      <c r="M83" s="111">
        <v>0</v>
      </c>
      <c r="N83" s="111">
        <v>0</v>
      </c>
      <c r="O83" s="111">
        <v>43</v>
      </c>
      <c r="P83" s="111">
        <v>0</v>
      </c>
      <c r="Q83" s="124">
        <v>8</v>
      </c>
      <c r="R83" s="112">
        <f t="shared" si="31"/>
        <v>0</v>
      </c>
      <c r="S83" s="205">
        <v>0</v>
      </c>
      <c r="T83" s="112">
        <f>S83/F83*100</f>
        <v>0</v>
      </c>
      <c r="U83" s="113">
        <f t="shared" si="39"/>
        <v>0</v>
      </c>
      <c r="V83" s="111">
        <v>60</v>
      </c>
      <c r="W83" s="114">
        <f t="shared" si="32"/>
        <v>7.02576112412178</v>
      </c>
    </row>
    <row r="84" spans="1:23" ht="9.75" customHeight="1">
      <c r="A84" s="298"/>
      <c r="B84" s="42" t="s">
        <v>99</v>
      </c>
      <c r="C84" s="258"/>
      <c r="D84" s="258"/>
      <c r="E84" s="264"/>
      <c r="F84" s="107">
        <v>28</v>
      </c>
      <c r="G84" s="270"/>
      <c r="H84" s="26">
        <f t="shared" si="35"/>
        <v>0</v>
      </c>
      <c r="I84" s="29">
        <f t="shared" si="36"/>
        <v>0</v>
      </c>
      <c r="J84" s="26">
        <f t="shared" si="37"/>
        <v>0</v>
      </c>
      <c r="K84" s="29" t="e">
        <f t="shared" si="29"/>
        <v>#DIV/0!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30">
        <v>0</v>
      </c>
      <c r="R84" s="31">
        <f t="shared" si="31"/>
        <v>0</v>
      </c>
      <c r="S84" s="206">
        <v>0</v>
      </c>
      <c r="T84" s="168">
        <f>S84/F84*100</f>
        <v>0</v>
      </c>
      <c r="U84" s="27" t="e">
        <f t="shared" si="39"/>
        <v>#DIV/0!</v>
      </c>
      <c r="V84" s="26">
        <v>13</v>
      </c>
      <c r="W84" s="32">
        <f t="shared" si="32"/>
        <v>46.42857142857143</v>
      </c>
    </row>
    <row r="85" spans="1:23" ht="9.75" customHeight="1">
      <c r="A85" s="298"/>
      <c r="B85" s="42" t="s">
        <v>97</v>
      </c>
      <c r="C85" s="26">
        <v>5466</v>
      </c>
      <c r="D85" s="26">
        <v>3391</v>
      </c>
      <c r="E85" s="121">
        <f t="shared" si="34"/>
        <v>62.038053421148916</v>
      </c>
      <c r="F85" s="107">
        <v>1743</v>
      </c>
      <c r="G85" s="27">
        <f t="shared" si="28"/>
        <v>51.40076673547625</v>
      </c>
      <c r="H85" s="26">
        <f t="shared" si="35"/>
        <v>66</v>
      </c>
      <c r="I85" s="29">
        <f t="shared" si="36"/>
        <v>3.7865748709122204</v>
      </c>
      <c r="J85" s="26">
        <f t="shared" si="37"/>
        <v>54</v>
      </c>
      <c r="K85" s="29">
        <f t="shared" si="29"/>
        <v>81.81818181818183</v>
      </c>
      <c r="L85" s="26">
        <v>21</v>
      </c>
      <c r="M85" s="26">
        <v>1</v>
      </c>
      <c r="N85" s="26">
        <v>0</v>
      </c>
      <c r="O85" s="26">
        <v>32</v>
      </c>
      <c r="P85" s="26">
        <v>0</v>
      </c>
      <c r="Q85" s="30">
        <v>12</v>
      </c>
      <c r="R85" s="31">
        <f t="shared" si="31"/>
        <v>0.05737234652897303</v>
      </c>
      <c r="S85" s="206">
        <v>1</v>
      </c>
      <c r="T85" s="168">
        <f>S85/F85*100</f>
        <v>0.05737234652897303</v>
      </c>
      <c r="U85" s="27">
        <f t="shared" si="39"/>
        <v>1.8518518518518516</v>
      </c>
      <c r="V85" s="26">
        <v>81</v>
      </c>
      <c r="W85" s="32">
        <f t="shared" si="32"/>
        <v>4.647160068846816</v>
      </c>
    </row>
    <row r="86" spans="1:23" ht="9.75" customHeight="1">
      <c r="A86" s="298"/>
      <c r="B86" s="43" t="s">
        <v>98</v>
      </c>
      <c r="C86" s="260"/>
      <c r="D86" s="260"/>
      <c r="E86" s="264"/>
      <c r="F86" s="108">
        <v>7</v>
      </c>
      <c r="G86" s="271"/>
      <c r="H86" s="105">
        <f t="shared" si="35"/>
        <v>0</v>
      </c>
      <c r="I86" s="106">
        <f t="shared" si="36"/>
        <v>0</v>
      </c>
      <c r="J86" s="105">
        <f t="shared" si="37"/>
        <v>0</v>
      </c>
      <c r="K86" s="106" t="e">
        <f t="shared" si="29"/>
        <v>#DIV/0!</v>
      </c>
      <c r="L86" s="105">
        <v>0</v>
      </c>
      <c r="M86" s="105">
        <v>0</v>
      </c>
      <c r="N86" s="105">
        <v>0</v>
      </c>
      <c r="O86" s="105">
        <v>0</v>
      </c>
      <c r="P86" s="105">
        <v>0</v>
      </c>
      <c r="Q86" s="115">
        <v>0</v>
      </c>
      <c r="R86" s="116">
        <f t="shared" si="31"/>
        <v>0</v>
      </c>
      <c r="S86" s="207">
        <v>0</v>
      </c>
      <c r="T86" s="208">
        <f>S86/F86*100</f>
        <v>0</v>
      </c>
      <c r="U86" s="104" t="e">
        <f t="shared" si="39"/>
        <v>#DIV/0!</v>
      </c>
      <c r="V86" s="105">
        <v>6</v>
      </c>
      <c r="W86" s="117">
        <f t="shared" si="32"/>
        <v>85.71428571428571</v>
      </c>
    </row>
    <row r="87" spans="1:23" ht="9.75" customHeight="1">
      <c r="A87" s="299"/>
      <c r="B87" s="209" t="s">
        <v>111</v>
      </c>
      <c r="C87" s="210">
        <f>SUM(C83,C85)</f>
        <v>10005</v>
      </c>
      <c r="D87" s="210">
        <f>SUM(D83,D85)</f>
        <v>5488</v>
      </c>
      <c r="E87" s="121">
        <f t="shared" si="34"/>
        <v>54.85257371314343</v>
      </c>
      <c r="F87" s="210">
        <f>SUM(F83,F85)</f>
        <v>2597</v>
      </c>
      <c r="G87" s="212">
        <f t="shared" si="28"/>
        <v>47.32142857142857</v>
      </c>
      <c r="H87" s="210">
        <f t="shared" si="35"/>
        <v>126</v>
      </c>
      <c r="I87" s="56">
        <f t="shared" si="36"/>
        <v>4.8517520215633425</v>
      </c>
      <c r="J87" s="210">
        <f t="shared" si="37"/>
        <v>106</v>
      </c>
      <c r="K87" s="56">
        <f t="shared" si="29"/>
        <v>84.12698412698413</v>
      </c>
      <c r="L87" s="210">
        <f aca="true" t="shared" si="40" ref="L87:Q88">SUM(L83,L85)</f>
        <v>30</v>
      </c>
      <c r="M87" s="210">
        <f t="shared" si="40"/>
        <v>1</v>
      </c>
      <c r="N87" s="210">
        <f t="shared" si="40"/>
        <v>0</v>
      </c>
      <c r="O87" s="210">
        <f t="shared" si="40"/>
        <v>75</v>
      </c>
      <c r="P87" s="210">
        <f t="shared" si="40"/>
        <v>0</v>
      </c>
      <c r="Q87" s="213">
        <f t="shared" si="40"/>
        <v>20</v>
      </c>
      <c r="R87" s="214">
        <f t="shared" si="31"/>
        <v>0.03850596842510589</v>
      </c>
      <c r="S87" s="210">
        <f>SUM(S83,S85)</f>
        <v>1</v>
      </c>
      <c r="T87" s="216">
        <f>S87/F87*100</f>
        <v>0.03850596842510589</v>
      </c>
      <c r="U87" s="212">
        <f t="shared" si="39"/>
        <v>0.9433962264150944</v>
      </c>
      <c r="V87" s="210">
        <f>SUM(V83,V85)</f>
        <v>141</v>
      </c>
      <c r="W87" s="227">
        <f t="shared" si="32"/>
        <v>5.429341547939931</v>
      </c>
    </row>
    <row r="88" spans="1:23" ht="9.75" customHeight="1" thickBot="1">
      <c r="A88" s="299"/>
      <c r="B88" s="230" t="s">
        <v>112</v>
      </c>
      <c r="C88" s="260"/>
      <c r="D88" s="260"/>
      <c r="E88" s="265"/>
      <c r="F88" s="105">
        <f>SUM(F84,F86)</f>
        <v>35</v>
      </c>
      <c r="G88" s="271"/>
      <c r="H88" s="105">
        <f t="shared" si="35"/>
        <v>0</v>
      </c>
      <c r="I88" s="106">
        <f t="shared" si="36"/>
        <v>0</v>
      </c>
      <c r="J88" s="105">
        <f t="shared" si="37"/>
        <v>0</v>
      </c>
      <c r="K88" s="106" t="e">
        <f t="shared" si="29"/>
        <v>#DIV/0!</v>
      </c>
      <c r="L88" s="105">
        <f t="shared" si="40"/>
        <v>0</v>
      </c>
      <c r="M88" s="105">
        <f t="shared" si="40"/>
        <v>0</v>
      </c>
      <c r="N88" s="105">
        <f t="shared" si="40"/>
        <v>0</v>
      </c>
      <c r="O88" s="105">
        <f t="shared" si="40"/>
        <v>0</v>
      </c>
      <c r="P88" s="105">
        <f t="shared" si="40"/>
        <v>0</v>
      </c>
      <c r="Q88" s="115">
        <f t="shared" si="40"/>
        <v>0</v>
      </c>
      <c r="R88" s="116">
        <f t="shared" si="31"/>
        <v>0</v>
      </c>
      <c r="S88" s="105">
        <f>SUM(S84,S86)</f>
        <v>0</v>
      </c>
      <c r="T88" s="208">
        <f>S88/F88</f>
        <v>0</v>
      </c>
      <c r="U88" s="104" t="e">
        <f t="shared" si="39"/>
        <v>#DIV/0!</v>
      </c>
      <c r="V88" s="105">
        <f>SUM(V84,V86)</f>
        <v>19</v>
      </c>
      <c r="W88" s="117">
        <f t="shared" si="32"/>
        <v>54.285714285714285</v>
      </c>
    </row>
    <row r="89" spans="1:23" ht="9.75" customHeight="1">
      <c r="A89" s="300" t="s">
        <v>33</v>
      </c>
      <c r="B89" s="118" t="s">
        <v>96</v>
      </c>
      <c r="C89" s="125">
        <f>SUM(C71,C77,C83)</f>
        <v>27903</v>
      </c>
      <c r="D89" s="125">
        <f>SUM(D71,D77,D83)</f>
        <v>10040</v>
      </c>
      <c r="E89" s="126">
        <f t="shared" si="34"/>
        <v>35.98179407232197</v>
      </c>
      <c r="F89" s="125">
        <f>SUM(F71,F77,F83)</f>
        <v>5235</v>
      </c>
      <c r="G89" s="127">
        <f t="shared" si="28"/>
        <v>52.1414342629482</v>
      </c>
      <c r="H89" s="125">
        <f t="shared" si="35"/>
        <v>222</v>
      </c>
      <c r="I89" s="128">
        <f t="shared" si="36"/>
        <v>4.240687679083095</v>
      </c>
      <c r="J89" s="125">
        <f t="shared" si="37"/>
        <v>206</v>
      </c>
      <c r="K89" s="128">
        <f t="shared" si="29"/>
        <v>92.7927927927928</v>
      </c>
      <c r="L89" s="125">
        <f aca="true" t="shared" si="41" ref="L89:Q92">SUM(L71,L77,L83)</f>
        <v>50</v>
      </c>
      <c r="M89" s="125">
        <f t="shared" si="41"/>
        <v>9</v>
      </c>
      <c r="N89" s="125">
        <f t="shared" si="41"/>
        <v>3</v>
      </c>
      <c r="O89" s="125">
        <f t="shared" si="41"/>
        <v>144</v>
      </c>
      <c r="P89" s="125">
        <f t="shared" si="41"/>
        <v>4</v>
      </c>
      <c r="Q89" s="129">
        <f t="shared" si="41"/>
        <v>12</v>
      </c>
      <c r="R89" s="130">
        <f t="shared" si="31"/>
        <v>0.17191977077363896</v>
      </c>
      <c r="S89" s="125">
        <f>SUM(S71,S77,S83)</f>
        <v>1</v>
      </c>
      <c r="T89" s="130">
        <f>S89/F89*100</f>
        <v>0.019102196752626553</v>
      </c>
      <c r="U89" s="127">
        <f t="shared" si="39"/>
        <v>4.368932038834951</v>
      </c>
      <c r="V89" s="125">
        <f>SUM(V71,V77,V83)</f>
        <v>801</v>
      </c>
      <c r="W89" s="131">
        <f t="shared" si="32"/>
        <v>15.300859598853869</v>
      </c>
    </row>
    <row r="90" spans="1:23" ht="9.75" customHeight="1">
      <c r="A90" s="301"/>
      <c r="B90" s="119" t="s">
        <v>99</v>
      </c>
      <c r="C90" s="258"/>
      <c r="D90" s="258"/>
      <c r="E90" s="264"/>
      <c r="F90" s="20">
        <f>SUM(F72,F78,F84)</f>
        <v>639</v>
      </c>
      <c r="G90" s="270"/>
      <c r="H90" s="20">
        <f t="shared" si="35"/>
        <v>19</v>
      </c>
      <c r="I90" s="22">
        <f t="shared" si="36"/>
        <v>2.97339593114241</v>
      </c>
      <c r="J90" s="20">
        <f t="shared" si="37"/>
        <v>19</v>
      </c>
      <c r="K90" s="22">
        <f t="shared" si="29"/>
        <v>100</v>
      </c>
      <c r="L90" s="20">
        <f t="shared" si="41"/>
        <v>16</v>
      </c>
      <c r="M90" s="20">
        <f t="shared" si="41"/>
        <v>0</v>
      </c>
      <c r="N90" s="20">
        <f t="shared" si="41"/>
        <v>0</v>
      </c>
      <c r="O90" s="20">
        <f t="shared" si="41"/>
        <v>3</v>
      </c>
      <c r="P90" s="20">
        <f t="shared" si="41"/>
        <v>0</v>
      </c>
      <c r="Q90" s="23">
        <f t="shared" si="41"/>
        <v>0</v>
      </c>
      <c r="R90" s="24">
        <f t="shared" si="31"/>
        <v>0</v>
      </c>
      <c r="S90" s="20">
        <f>SUM(S72,S78,S84)</f>
        <v>0</v>
      </c>
      <c r="T90" s="166">
        <f>S90/F90*100</f>
        <v>0</v>
      </c>
      <c r="U90" s="21">
        <f t="shared" si="39"/>
        <v>0</v>
      </c>
      <c r="V90" s="20">
        <f>SUM(V72,V78,V84)</f>
        <v>38</v>
      </c>
      <c r="W90" s="25">
        <f t="shared" si="32"/>
        <v>5.94679186228482</v>
      </c>
    </row>
    <row r="91" spans="1:23" ht="9.75" customHeight="1">
      <c r="A91" s="301"/>
      <c r="B91" s="119" t="s">
        <v>97</v>
      </c>
      <c r="C91" s="20">
        <f>SUM(C73,C79,C85)</f>
        <v>33032</v>
      </c>
      <c r="D91" s="20">
        <f>SUM(D73,D79,D85)</f>
        <v>17249</v>
      </c>
      <c r="E91" s="237">
        <f t="shared" si="34"/>
        <v>52.219060305158635</v>
      </c>
      <c r="F91" s="20">
        <f>SUM(F73,F79,F85)</f>
        <v>10390</v>
      </c>
      <c r="G91" s="21">
        <f t="shared" si="28"/>
        <v>60.23537596382399</v>
      </c>
      <c r="H91" s="20">
        <f t="shared" si="35"/>
        <v>324</v>
      </c>
      <c r="I91" s="22">
        <f t="shared" si="36"/>
        <v>3.1183830606352263</v>
      </c>
      <c r="J91" s="20">
        <f t="shared" si="37"/>
        <v>302</v>
      </c>
      <c r="K91" s="22">
        <f t="shared" si="29"/>
        <v>93.20987654320987</v>
      </c>
      <c r="L91" s="20">
        <f t="shared" si="41"/>
        <v>118</v>
      </c>
      <c r="M91" s="20">
        <f t="shared" si="41"/>
        <v>4</v>
      </c>
      <c r="N91" s="20">
        <f t="shared" si="41"/>
        <v>3</v>
      </c>
      <c r="O91" s="20">
        <f t="shared" si="41"/>
        <v>177</v>
      </c>
      <c r="P91" s="20">
        <f t="shared" si="41"/>
        <v>7</v>
      </c>
      <c r="Q91" s="23">
        <f t="shared" si="41"/>
        <v>15</v>
      </c>
      <c r="R91" s="24">
        <f t="shared" si="31"/>
        <v>0.03849855630413859</v>
      </c>
      <c r="S91" s="20">
        <f>SUM(S73,S79,S85)</f>
        <v>2</v>
      </c>
      <c r="T91" s="166">
        <f>S91/F91*100</f>
        <v>0.019249278152069296</v>
      </c>
      <c r="U91" s="21">
        <f t="shared" si="39"/>
        <v>1.3245033112582782</v>
      </c>
      <c r="V91" s="20">
        <f>SUM(V73,V79,V85)</f>
        <v>1379</v>
      </c>
      <c r="W91" s="25">
        <f t="shared" si="32"/>
        <v>13.27237728585178</v>
      </c>
    </row>
    <row r="92" spans="1:23" ht="9.75" customHeight="1">
      <c r="A92" s="301"/>
      <c r="B92" s="223" t="s">
        <v>98</v>
      </c>
      <c r="C92" s="260"/>
      <c r="D92" s="260"/>
      <c r="E92" s="265"/>
      <c r="F92" s="133">
        <f>SUM(F74,F80,F86)</f>
        <v>134</v>
      </c>
      <c r="G92" s="271"/>
      <c r="H92" s="133">
        <f t="shared" si="35"/>
        <v>0</v>
      </c>
      <c r="I92" s="135">
        <f t="shared" si="36"/>
        <v>0</v>
      </c>
      <c r="J92" s="133">
        <f t="shared" si="37"/>
        <v>0</v>
      </c>
      <c r="K92" s="135" t="e">
        <f t="shared" si="29"/>
        <v>#DIV/0!</v>
      </c>
      <c r="L92" s="133">
        <f t="shared" si="41"/>
        <v>0</v>
      </c>
      <c r="M92" s="133">
        <f t="shared" si="41"/>
        <v>0</v>
      </c>
      <c r="N92" s="133">
        <f t="shared" si="41"/>
        <v>0</v>
      </c>
      <c r="O92" s="133">
        <f t="shared" si="41"/>
        <v>0</v>
      </c>
      <c r="P92" s="133">
        <f t="shared" si="41"/>
        <v>0</v>
      </c>
      <c r="Q92" s="256">
        <f t="shared" si="41"/>
        <v>0</v>
      </c>
      <c r="R92" s="136">
        <f t="shared" si="31"/>
        <v>0</v>
      </c>
      <c r="S92" s="133">
        <f>SUM(S74,S80,S86)</f>
        <v>0</v>
      </c>
      <c r="T92" s="167">
        <f>S92/F92*100</f>
        <v>0</v>
      </c>
      <c r="U92" s="134" t="e">
        <f t="shared" si="39"/>
        <v>#DIV/0!</v>
      </c>
      <c r="V92" s="133">
        <f>SUM(V74,V80,V86)</f>
        <v>23</v>
      </c>
      <c r="W92" s="137">
        <f t="shared" si="32"/>
        <v>17.16417910447761</v>
      </c>
    </row>
    <row r="93" spans="1:23" ht="9.75" customHeight="1">
      <c r="A93" s="302"/>
      <c r="B93" s="228" t="s">
        <v>111</v>
      </c>
      <c r="C93" s="238">
        <f>SUM(C89,C91)</f>
        <v>60935</v>
      </c>
      <c r="D93" s="238">
        <f>SUM(D89,D91)</f>
        <v>27289</v>
      </c>
      <c r="E93" s="253">
        <f t="shared" si="34"/>
        <v>44.78378600147698</v>
      </c>
      <c r="F93" s="238">
        <f>SUM(F89,F91)</f>
        <v>15625</v>
      </c>
      <c r="G93" s="239">
        <f t="shared" si="28"/>
        <v>57.25750302319616</v>
      </c>
      <c r="H93" s="238">
        <f t="shared" si="35"/>
        <v>546</v>
      </c>
      <c r="I93" s="240">
        <f t="shared" si="36"/>
        <v>3.4944</v>
      </c>
      <c r="J93" s="238">
        <f t="shared" si="37"/>
        <v>508</v>
      </c>
      <c r="K93" s="240">
        <f t="shared" si="29"/>
        <v>93.04029304029304</v>
      </c>
      <c r="L93" s="238">
        <f aca="true" t="shared" si="42" ref="L93:Q94">SUM(L89,L91)</f>
        <v>168</v>
      </c>
      <c r="M93" s="238">
        <f t="shared" si="42"/>
        <v>13</v>
      </c>
      <c r="N93" s="238">
        <f t="shared" si="42"/>
        <v>6</v>
      </c>
      <c r="O93" s="238">
        <f t="shared" si="42"/>
        <v>321</v>
      </c>
      <c r="P93" s="238">
        <f t="shared" si="42"/>
        <v>11</v>
      </c>
      <c r="Q93" s="241">
        <f t="shared" si="42"/>
        <v>27</v>
      </c>
      <c r="R93" s="242">
        <f t="shared" si="31"/>
        <v>0.0832</v>
      </c>
      <c r="S93" s="238">
        <f>SUM(S89,S91)</f>
        <v>3</v>
      </c>
      <c r="T93" s="243">
        <f>S93/F93*100</f>
        <v>0.019200000000000002</v>
      </c>
      <c r="U93" s="239">
        <f t="shared" si="39"/>
        <v>2.559055118110236</v>
      </c>
      <c r="V93" s="238">
        <f>SUM(V89,V91)</f>
        <v>2180</v>
      </c>
      <c r="W93" s="244">
        <f t="shared" si="32"/>
        <v>13.952</v>
      </c>
    </row>
    <row r="94" spans="1:23" ht="9.75" customHeight="1" thickBot="1">
      <c r="A94" s="303"/>
      <c r="B94" s="229" t="s">
        <v>112</v>
      </c>
      <c r="C94" s="262"/>
      <c r="D94" s="262"/>
      <c r="E94" s="263"/>
      <c r="F94" s="245">
        <f>SUM(F90,F92)</f>
        <v>773</v>
      </c>
      <c r="G94" s="272"/>
      <c r="H94" s="245">
        <f t="shared" si="35"/>
        <v>19</v>
      </c>
      <c r="I94" s="247">
        <f t="shared" si="36"/>
        <v>2.457956015523933</v>
      </c>
      <c r="J94" s="245">
        <f t="shared" si="37"/>
        <v>19</v>
      </c>
      <c r="K94" s="247">
        <f t="shared" si="29"/>
        <v>100</v>
      </c>
      <c r="L94" s="245">
        <f t="shared" si="42"/>
        <v>16</v>
      </c>
      <c r="M94" s="245">
        <f t="shared" si="42"/>
        <v>0</v>
      </c>
      <c r="N94" s="245">
        <f t="shared" si="42"/>
        <v>0</v>
      </c>
      <c r="O94" s="245">
        <f t="shared" si="42"/>
        <v>3</v>
      </c>
      <c r="P94" s="245">
        <f t="shared" si="42"/>
        <v>0</v>
      </c>
      <c r="Q94" s="248">
        <f t="shared" si="42"/>
        <v>0</v>
      </c>
      <c r="R94" s="249">
        <f t="shared" si="31"/>
        <v>0</v>
      </c>
      <c r="S94" s="245">
        <f>SUM(S90,S92)</f>
        <v>0</v>
      </c>
      <c r="T94" s="250">
        <f>S94/F94</f>
        <v>0</v>
      </c>
      <c r="U94" s="246">
        <f t="shared" si="39"/>
        <v>0</v>
      </c>
      <c r="V94" s="245">
        <f>SUM(V90,V92)</f>
        <v>61</v>
      </c>
      <c r="W94" s="251">
        <f t="shared" si="32"/>
        <v>7.891332470892626</v>
      </c>
    </row>
    <row r="95" spans="1:23" ht="9.75" customHeight="1">
      <c r="A95" s="297" t="s">
        <v>17</v>
      </c>
      <c r="B95" s="41" t="s">
        <v>96</v>
      </c>
      <c r="C95" s="111">
        <v>16658</v>
      </c>
      <c r="D95" s="111">
        <v>6389</v>
      </c>
      <c r="E95" s="121">
        <f t="shared" si="34"/>
        <v>38.35394405090647</v>
      </c>
      <c r="F95" s="122">
        <v>678</v>
      </c>
      <c r="G95" s="113">
        <f t="shared" si="28"/>
        <v>10.61198935670684</v>
      </c>
      <c r="H95" s="111">
        <f t="shared" si="35"/>
        <v>22</v>
      </c>
      <c r="I95" s="123">
        <f t="shared" si="36"/>
        <v>3.2448377581120944</v>
      </c>
      <c r="J95" s="111">
        <f t="shared" si="37"/>
        <v>19</v>
      </c>
      <c r="K95" s="123">
        <f t="shared" si="29"/>
        <v>86.36363636363636</v>
      </c>
      <c r="L95" s="111">
        <v>7</v>
      </c>
      <c r="M95" s="111">
        <v>0</v>
      </c>
      <c r="N95" s="111">
        <v>0</v>
      </c>
      <c r="O95" s="111">
        <v>12</v>
      </c>
      <c r="P95" s="111">
        <v>0</v>
      </c>
      <c r="Q95" s="124">
        <v>3</v>
      </c>
      <c r="R95" s="112">
        <f t="shared" si="31"/>
        <v>0</v>
      </c>
      <c r="S95" s="205">
        <v>0</v>
      </c>
      <c r="T95" s="112">
        <f>S95/F95*100</f>
        <v>0</v>
      </c>
      <c r="U95" s="113">
        <f t="shared" si="39"/>
        <v>0</v>
      </c>
      <c r="V95" s="111">
        <v>123</v>
      </c>
      <c r="W95" s="114">
        <f t="shared" si="32"/>
        <v>18.141592920353983</v>
      </c>
    </row>
    <row r="96" spans="1:23" ht="9.75" customHeight="1">
      <c r="A96" s="298"/>
      <c r="B96" s="42" t="s">
        <v>99</v>
      </c>
      <c r="C96" s="258"/>
      <c r="D96" s="258"/>
      <c r="E96" s="264"/>
      <c r="F96" s="107">
        <v>60</v>
      </c>
      <c r="G96" s="270"/>
      <c r="H96" s="26">
        <f t="shared" si="35"/>
        <v>0</v>
      </c>
      <c r="I96" s="29">
        <f t="shared" si="36"/>
        <v>0</v>
      </c>
      <c r="J96" s="26">
        <f t="shared" si="37"/>
        <v>0</v>
      </c>
      <c r="K96" s="29" t="e">
        <f t="shared" si="29"/>
        <v>#DIV/0!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30">
        <v>0</v>
      </c>
      <c r="R96" s="31">
        <f t="shared" si="31"/>
        <v>0</v>
      </c>
      <c r="S96" s="206">
        <v>0</v>
      </c>
      <c r="T96" s="168">
        <f>S96/F96*100</f>
        <v>0</v>
      </c>
      <c r="U96" s="27" t="e">
        <f t="shared" si="39"/>
        <v>#DIV/0!</v>
      </c>
      <c r="V96" s="26">
        <v>5</v>
      </c>
      <c r="W96" s="32">
        <f t="shared" si="32"/>
        <v>8.333333333333332</v>
      </c>
    </row>
    <row r="97" spans="1:23" ht="9.75" customHeight="1">
      <c r="A97" s="298"/>
      <c r="B97" s="42" t="s">
        <v>97</v>
      </c>
      <c r="C97" s="26">
        <v>19471</v>
      </c>
      <c r="D97" s="26">
        <v>12018</v>
      </c>
      <c r="E97" s="121">
        <f t="shared" si="34"/>
        <v>61.72256175851266</v>
      </c>
      <c r="F97" s="107">
        <v>1565</v>
      </c>
      <c r="G97" s="27">
        <f t="shared" si="28"/>
        <v>13.022133466466968</v>
      </c>
      <c r="H97" s="26">
        <f t="shared" si="35"/>
        <v>45</v>
      </c>
      <c r="I97" s="29">
        <f t="shared" si="36"/>
        <v>2.8753993610223643</v>
      </c>
      <c r="J97" s="26">
        <f t="shared" si="37"/>
        <v>39</v>
      </c>
      <c r="K97" s="29">
        <f t="shared" si="29"/>
        <v>86.66666666666667</v>
      </c>
      <c r="L97" s="26">
        <v>17</v>
      </c>
      <c r="M97" s="26">
        <v>1</v>
      </c>
      <c r="N97" s="26">
        <v>0</v>
      </c>
      <c r="O97" s="26">
        <v>21</v>
      </c>
      <c r="P97" s="26">
        <v>0</v>
      </c>
      <c r="Q97" s="30">
        <v>6</v>
      </c>
      <c r="R97" s="31">
        <f t="shared" si="31"/>
        <v>0.06389776357827476</v>
      </c>
      <c r="S97" s="206">
        <v>0</v>
      </c>
      <c r="T97" s="168">
        <f>S97/F97*100</f>
        <v>0</v>
      </c>
      <c r="U97" s="27">
        <f t="shared" si="39"/>
        <v>2.564102564102564</v>
      </c>
      <c r="V97" s="26">
        <v>196</v>
      </c>
      <c r="W97" s="32">
        <f t="shared" si="32"/>
        <v>12.523961661341854</v>
      </c>
    </row>
    <row r="98" spans="1:23" ht="9.75" customHeight="1">
      <c r="A98" s="298"/>
      <c r="B98" s="41" t="s">
        <v>98</v>
      </c>
      <c r="C98" s="260"/>
      <c r="D98" s="260"/>
      <c r="E98" s="265"/>
      <c r="F98" s="108">
        <v>5</v>
      </c>
      <c r="G98" s="271"/>
      <c r="H98" s="105">
        <f t="shared" si="35"/>
        <v>0</v>
      </c>
      <c r="I98" s="106">
        <f t="shared" si="36"/>
        <v>0</v>
      </c>
      <c r="J98" s="105">
        <f t="shared" si="37"/>
        <v>0</v>
      </c>
      <c r="K98" s="106" t="e">
        <f t="shared" si="29"/>
        <v>#DIV/0!</v>
      </c>
      <c r="L98" s="105">
        <v>0</v>
      </c>
      <c r="M98" s="105">
        <v>0</v>
      </c>
      <c r="N98" s="105">
        <v>0</v>
      </c>
      <c r="O98" s="105">
        <v>0</v>
      </c>
      <c r="P98" s="105">
        <v>0</v>
      </c>
      <c r="Q98" s="115">
        <v>0</v>
      </c>
      <c r="R98" s="116">
        <f t="shared" si="31"/>
        <v>0</v>
      </c>
      <c r="S98" s="207">
        <v>0</v>
      </c>
      <c r="T98" s="208">
        <f>S98/F98*100</f>
        <v>0</v>
      </c>
      <c r="U98" s="104" t="e">
        <f t="shared" si="39"/>
        <v>#DIV/0!</v>
      </c>
      <c r="V98" s="105">
        <v>3</v>
      </c>
      <c r="W98" s="117">
        <f t="shared" si="32"/>
        <v>60</v>
      </c>
    </row>
    <row r="99" spans="1:23" ht="9.75" customHeight="1">
      <c r="A99" s="298"/>
      <c r="B99" s="209" t="s">
        <v>111</v>
      </c>
      <c r="C99" s="210">
        <f>SUM(C95,C97)</f>
        <v>36129</v>
      </c>
      <c r="D99" s="210">
        <f>SUM(D95,D97)</f>
        <v>18407</v>
      </c>
      <c r="E99" s="211">
        <f t="shared" si="34"/>
        <v>50.94799191784992</v>
      </c>
      <c r="F99" s="210">
        <f>SUM(F95,F97)</f>
        <v>2243</v>
      </c>
      <c r="G99" s="212">
        <f t="shared" si="28"/>
        <v>12.185581572227957</v>
      </c>
      <c r="H99" s="210">
        <f t="shared" si="35"/>
        <v>67</v>
      </c>
      <c r="I99" s="56">
        <f t="shared" si="36"/>
        <v>2.9870708872046365</v>
      </c>
      <c r="J99" s="210">
        <f t="shared" si="37"/>
        <v>58</v>
      </c>
      <c r="K99" s="56">
        <f t="shared" si="29"/>
        <v>86.56716417910447</v>
      </c>
      <c r="L99" s="210">
        <f aca="true" t="shared" si="43" ref="L99:Q100">SUM(L95,L97)</f>
        <v>24</v>
      </c>
      <c r="M99" s="210">
        <f t="shared" si="43"/>
        <v>1</v>
      </c>
      <c r="N99" s="210">
        <f t="shared" si="43"/>
        <v>0</v>
      </c>
      <c r="O99" s="210">
        <f t="shared" si="43"/>
        <v>33</v>
      </c>
      <c r="P99" s="210">
        <f t="shared" si="43"/>
        <v>0</v>
      </c>
      <c r="Q99" s="213">
        <f t="shared" si="43"/>
        <v>9</v>
      </c>
      <c r="R99" s="214">
        <f t="shared" si="31"/>
        <v>0.04458314757021846</v>
      </c>
      <c r="S99" s="210">
        <f>SUM(S95,S97)</f>
        <v>0</v>
      </c>
      <c r="T99" s="216">
        <f>S99/F99*100</f>
        <v>0</v>
      </c>
      <c r="U99" s="212">
        <f t="shared" si="39"/>
        <v>1.7241379310344827</v>
      </c>
      <c r="V99" s="210">
        <f>SUM(V95,V97)</f>
        <v>319</v>
      </c>
      <c r="W99" s="227">
        <f t="shared" si="32"/>
        <v>14.22202407489969</v>
      </c>
    </row>
    <row r="100" spans="1:23" ht="9.75" customHeight="1">
      <c r="A100" s="298"/>
      <c r="B100" s="217" t="s">
        <v>112</v>
      </c>
      <c r="C100" s="266"/>
      <c r="D100" s="266"/>
      <c r="E100" s="268"/>
      <c r="F100" s="218">
        <f>SUM(F96,F98)</f>
        <v>65</v>
      </c>
      <c r="G100" s="273"/>
      <c r="H100" s="218">
        <f t="shared" si="35"/>
        <v>0</v>
      </c>
      <c r="I100" s="220">
        <f t="shared" si="36"/>
        <v>0</v>
      </c>
      <c r="J100" s="218">
        <f t="shared" si="37"/>
        <v>0</v>
      </c>
      <c r="K100" s="220" t="e">
        <f t="shared" si="29"/>
        <v>#DIV/0!</v>
      </c>
      <c r="L100" s="218">
        <f t="shared" si="43"/>
        <v>0</v>
      </c>
      <c r="M100" s="218">
        <f t="shared" si="43"/>
        <v>0</v>
      </c>
      <c r="N100" s="218">
        <f t="shared" si="43"/>
        <v>0</v>
      </c>
      <c r="O100" s="218">
        <f t="shared" si="43"/>
        <v>0</v>
      </c>
      <c r="P100" s="218">
        <f t="shared" si="43"/>
        <v>0</v>
      </c>
      <c r="Q100" s="221">
        <f t="shared" si="43"/>
        <v>0</v>
      </c>
      <c r="R100" s="222">
        <f t="shared" si="31"/>
        <v>0</v>
      </c>
      <c r="S100" s="218">
        <f>SUM(S96,S98)</f>
        <v>0</v>
      </c>
      <c r="T100" s="169">
        <f>S100/F100</f>
        <v>0</v>
      </c>
      <c r="U100" s="219" t="e">
        <f t="shared" si="39"/>
        <v>#DIV/0!</v>
      </c>
      <c r="V100" s="218">
        <f>SUM(V96,V98)</f>
        <v>8</v>
      </c>
      <c r="W100" s="338">
        <f t="shared" si="32"/>
        <v>12.307692307692308</v>
      </c>
    </row>
    <row r="101" spans="1:23" ht="9.75" customHeight="1">
      <c r="A101" s="298" t="s">
        <v>18</v>
      </c>
      <c r="B101" s="41" t="s">
        <v>96</v>
      </c>
      <c r="C101" s="111">
        <v>3089</v>
      </c>
      <c r="D101" s="111">
        <v>822</v>
      </c>
      <c r="E101" s="121">
        <f t="shared" si="34"/>
        <v>26.61055357720945</v>
      </c>
      <c r="F101" s="122">
        <v>361</v>
      </c>
      <c r="G101" s="113">
        <f t="shared" si="28"/>
        <v>43.91727493917275</v>
      </c>
      <c r="H101" s="111">
        <f t="shared" si="35"/>
        <v>10</v>
      </c>
      <c r="I101" s="123">
        <f t="shared" si="36"/>
        <v>2.7700831024930745</v>
      </c>
      <c r="J101" s="111">
        <f t="shared" si="37"/>
        <v>9</v>
      </c>
      <c r="K101" s="123">
        <f t="shared" si="29"/>
        <v>90</v>
      </c>
      <c r="L101" s="111">
        <v>2</v>
      </c>
      <c r="M101" s="111">
        <v>0</v>
      </c>
      <c r="N101" s="111">
        <v>0</v>
      </c>
      <c r="O101" s="111">
        <v>7</v>
      </c>
      <c r="P101" s="111">
        <v>0</v>
      </c>
      <c r="Q101" s="124">
        <v>1</v>
      </c>
      <c r="R101" s="112">
        <f t="shared" si="31"/>
        <v>0</v>
      </c>
      <c r="S101" s="205">
        <v>0</v>
      </c>
      <c r="T101" s="112">
        <f>S101/F101*100</f>
        <v>0</v>
      </c>
      <c r="U101" s="113">
        <f t="shared" si="39"/>
        <v>0</v>
      </c>
      <c r="V101" s="111">
        <v>83</v>
      </c>
      <c r="W101" s="114">
        <f t="shared" si="32"/>
        <v>22.99168975069252</v>
      </c>
    </row>
    <row r="102" spans="1:23" ht="9.75" customHeight="1">
      <c r="A102" s="298"/>
      <c r="B102" s="42" t="s">
        <v>99</v>
      </c>
      <c r="C102" s="258"/>
      <c r="D102" s="258"/>
      <c r="E102" s="264"/>
      <c r="F102" s="107">
        <v>61</v>
      </c>
      <c r="G102" s="270"/>
      <c r="H102" s="26">
        <f t="shared" si="35"/>
        <v>0</v>
      </c>
      <c r="I102" s="29">
        <f t="shared" si="36"/>
        <v>0</v>
      </c>
      <c r="J102" s="26">
        <f t="shared" si="37"/>
        <v>0</v>
      </c>
      <c r="K102" s="29" t="e">
        <f t="shared" si="29"/>
        <v>#DIV/0!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  <c r="Q102" s="30">
        <v>0</v>
      </c>
      <c r="R102" s="31">
        <f t="shared" si="31"/>
        <v>0</v>
      </c>
      <c r="S102" s="206">
        <v>0</v>
      </c>
      <c r="T102" s="168">
        <f>S102/F102*100</f>
        <v>0</v>
      </c>
      <c r="U102" s="27" t="e">
        <f t="shared" si="39"/>
        <v>#DIV/0!</v>
      </c>
      <c r="V102" s="26">
        <v>25</v>
      </c>
      <c r="W102" s="32">
        <f t="shared" si="32"/>
        <v>40.98360655737705</v>
      </c>
    </row>
    <row r="103" spans="1:23" ht="9.75" customHeight="1">
      <c r="A103" s="298"/>
      <c r="B103" s="42" t="s">
        <v>97</v>
      </c>
      <c r="C103" s="26">
        <v>3466</v>
      </c>
      <c r="D103" s="26">
        <v>1591</v>
      </c>
      <c r="E103" s="121">
        <f t="shared" si="34"/>
        <v>45.90305828043854</v>
      </c>
      <c r="F103" s="107">
        <v>622</v>
      </c>
      <c r="G103" s="27">
        <f t="shared" si="28"/>
        <v>39.09490886235073</v>
      </c>
      <c r="H103" s="26">
        <f t="shared" si="35"/>
        <v>10</v>
      </c>
      <c r="I103" s="29">
        <f t="shared" si="36"/>
        <v>1.607717041800643</v>
      </c>
      <c r="J103" s="26">
        <f t="shared" si="37"/>
        <v>9</v>
      </c>
      <c r="K103" s="29">
        <f t="shared" si="29"/>
        <v>90</v>
      </c>
      <c r="L103" s="26">
        <v>3</v>
      </c>
      <c r="M103" s="26">
        <v>1</v>
      </c>
      <c r="N103" s="26">
        <v>0</v>
      </c>
      <c r="O103" s="26">
        <v>5</v>
      </c>
      <c r="P103" s="26">
        <v>0</v>
      </c>
      <c r="Q103" s="30">
        <v>1</v>
      </c>
      <c r="R103" s="31">
        <f t="shared" si="31"/>
        <v>0.1607717041800643</v>
      </c>
      <c r="S103" s="206">
        <v>0</v>
      </c>
      <c r="T103" s="168">
        <f>S103/F103*100</f>
        <v>0</v>
      </c>
      <c r="U103" s="27">
        <f t="shared" si="39"/>
        <v>11.11111111111111</v>
      </c>
      <c r="V103" s="26">
        <v>126</v>
      </c>
      <c r="W103" s="32">
        <f t="shared" si="32"/>
        <v>20.257234726688104</v>
      </c>
    </row>
    <row r="104" spans="1:23" ht="9.75" customHeight="1">
      <c r="A104" s="298"/>
      <c r="B104" s="41" t="s">
        <v>98</v>
      </c>
      <c r="C104" s="260"/>
      <c r="D104" s="260"/>
      <c r="E104" s="265"/>
      <c r="F104" s="108">
        <v>16</v>
      </c>
      <c r="G104" s="271"/>
      <c r="H104" s="105">
        <f t="shared" si="35"/>
        <v>0</v>
      </c>
      <c r="I104" s="106">
        <f t="shared" si="36"/>
        <v>0</v>
      </c>
      <c r="J104" s="105">
        <f t="shared" si="37"/>
        <v>0</v>
      </c>
      <c r="K104" s="106" t="e">
        <f t="shared" si="29"/>
        <v>#DIV/0!</v>
      </c>
      <c r="L104" s="105">
        <v>0</v>
      </c>
      <c r="M104" s="105">
        <v>0</v>
      </c>
      <c r="N104" s="105">
        <v>0</v>
      </c>
      <c r="O104" s="105">
        <v>0</v>
      </c>
      <c r="P104" s="105">
        <v>0</v>
      </c>
      <c r="Q104" s="115">
        <v>0</v>
      </c>
      <c r="R104" s="116">
        <f t="shared" si="31"/>
        <v>0</v>
      </c>
      <c r="S104" s="207">
        <v>0</v>
      </c>
      <c r="T104" s="208">
        <f>S104/F104*100</f>
        <v>0</v>
      </c>
      <c r="U104" s="104" t="e">
        <f t="shared" si="39"/>
        <v>#DIV/0!</v>
      </c>
      <c r="V104" s="105">
        <v>10</v>
      </c>
      <c r="W104" s="117">
        <f t="shared" si="32"/>
        <v>62.5</v>
      </c>
    </row>
    <row r="105" spans="1:23" ht="9.75" customHeight="1">
      <c r="A105" s="298"/>
      <c r="B105" s="209" t="s">
        <v>111</v>
      </c>
      <c r="C105" s="210">
        <f>SUM(C101,C103)</f>
        <v>6555</v>
      </c>
      <c r="D105" s="210">
        <f>SUM(D101,D103)</f>
        <v>2413</v>
      </c>
      <c r="E105" s="211">
        <f t="shared" si="34"/>
        <v>36.811594202898554</v>
      </c>
      <c r="F105" s="210">
        <f>SUM(F101,F103)</f>
        <v>983</v>
      </c>
      <c r="G105" s="212">
        <f t="shared" si="28"/>
        <v>40.73767094902611</v>
      </c>
      <c r="H105" s="210">
        <f t="shared" si="35"/>
        <v>20</v>
      </c>
      <c r="I105" s="56">
        <f t="shared" si="36"/>
        <v>2.034587995930824</v>
      </c>
      <c r="J105" s="210">
        <f t="shared" si="37"/>
        <v>18</v>
      </c>
      <c r="K105" s="56">
        <f t="shared" si="29"/>
        <v>90</v>
      </c>
      <c r="L105" s="210">
        <f aca="true" t="shared" si="44" ref="L105:Q106">SUM(L101,L103)</f>
        <v>5</v>
      </c>
      <c r="M105" s="210">
        <f t="shared" si="44"/>
        <v>1</v>
      </c>
      <c r="N105" s="210">
        <f t="shared" si="44"/>
        <v>0</v>
      </c>
      <c r="O105" s="210">
        <f t="shared" si="44"/>
        <v>12</v>
      </c>
      <c r="P105" s="210">
        <f t="shared" si="44"/>
        <v>0</v>
      </c>
      <c r="Q105" s="213">
        <f t="shared" si="44"/>
        <v>2</v>
      </c>
      <c r="R105" s="214">
        <f t="shared" si="31"/>
        <v>0.10172939979654119</v>
      </c>
      <c r="S105" s="210">
        <f>SUM(S101,S103)</f>
        <v>0</v>
      </c>
      <c r="T105" s="216">
        <f>S105/F105*100</f>
        <v>0</v>
      </c>
      <c r="U105" s="212">
        <f t="shared" si="39"/>
        <v>5.555555555555555</v>
      </c>
      <c r="V105" s="210">
        <f>SUM(V101,V103)</f>
        <v>209</v>
      </c>
      <c r="W105" s="227">
        <f t="shared" si="32"/>
        <v>21.26144455747711</v>
      </c>
    </row>
    <row r="106" spans="1:23" ht="9.75" customHeight="1" thickBot="1">
      <c r="A106" s="299"/>
      <c r="B106" s="231" t="s">
        <v>112</v>
      </c>
      <c r="C106" s="262"/>
      <c r="D106" s="262"/>
      <c r="E106" s="263"/>
      <c r="F106" s="232">
        <f>SUM(F102,F104)</f>
        <v>77</v>
      </c>
      <c r="G106" s="272"/>
      <c r="H106" s="232">
        <f t="shared" si="35"/>
        <v>0</v>
      </c>
      <c r="I106" s="93">
        <f t="shared" si="36"/>
        <v>0</v>
      </c>
      <c r="J106" s="232">
        <f t="shared" si="37"/>
        <v>0</v>
      </c>
      <c r="K106" s="93" t="e">
        <f t="shared" si="29"/>
        <v>#DIV/0!</v>
      </c>
      <c r="L106" s="232">
        <f t="shared" si="44"/>
        <v>0</v>
      </c>
      <c r="M106" s="232">
        <f t="shared" si="44"/>
        <v>0</v>
      </c>
      <c r="N106" s="232">
        <f t="shared" si="44"/>
        <v>0</v>
      </c>
      <c r="O106" s="232">
        <f t="shared" si="44"/>
        <v>0</v>
      </c>
      <c r="P106" s="232">
        <f t="shared" si="44"/>
        <v>0</v>
      </c>
      <c r="Q106" s="234">
        <f t="shared" si="44"/>
        <v>0</v>
      </c>
      <c r="R106" s="235">
        <f t="shared" si="31"/>
        <v>0</v>
      </c>
      <c r="S106" s="232">
        <f>SUM(S102,S104)</f>
        <v>0</v>
      </c>
      <c r="T106" s="236">
        <f>S106/F106</f>
        <v>0</v>
      </c>
      <c r="U106" s="233" t="e">
        <f t="shared" si="39"/>
        <v>#DIV/0!</v>
      </c>
      <c r="V106" s="232">
        <f>SUM(V102,V104)</f>
        <v>35</v>
      </c>
      <c r="W106" s="339">
        <f t="shared" si="32"/>
        <v>45.45454545454545</v>
      </c>
    </row>
    <row r="107" spans="1:23" ht="9.75" customHeight="1">
      <c r="A107" s="300" t="s">
        <v>35</v>
      </c>
      <c r="B107" s="118" t="s">
        <v>96</v>
      </c>
      <c r="C107" s="125">
        <f>SUM(C95,C101)</f>
        <v>19747</v>
      </c>
      <c r="D107" s="125">
        <f>SUM(D95,D101)</f>
        <v>7211</v>
      </c>
      <c r="E107" s="126">
        <f t="shared" si="34"/>
        <v>36.51693928191624</v>
      </c>
      <c r="F107" s="125">
        <f>SUM(F95,F101)</f>
        <v>1039</v>
      </c>
      <c r="G107" s="127">
        <f t="shared" si="28"/>
        <v>14.408542504507002</v>
      </c>
      <c r="H107" s="125">
        <f t="shared" si="35"/>
        <v>32</v>
      </c>
      <c r="I107" s="128">
        <f t="shared" si="36"/>
        <v>3.079884504331088</v>
      </c>
      <c r="J107" s="125">
        <f t="shared" si="37"/>
        <v>28</v>
      </c>
      <c r="K107" s="128">
        <f t="shared" si="29"/>
        <v>87.5</v>
      </c>
      <c r="L107" s="125">
        <f aca="true" t="shared" si="45" ref="L107:Q110">SUM(L95,L101)</f>
        <v>9</v>
      </c>
      <c r="M107" s="125">
        <f t="shared" si="45"/>
        <v>0</v>
      </c>
      <c r="N107" s="125">
        <f t="shared" si="45"/>
        <v>0</v>
      </c>
      <c r="O107" s="125">
        <f t="shared" si="45"/>
        <v>19</v>
      </c>
      <c r="P107" s="125">
        <f t="shared" si="45"/>
        <v>0</v>
      </c>
      <c r="Q107" s="129">
        <f t="shared" si="45"/>
        <v>4</v>
      </c>
      <c r="R107" s="130">
        <f t="shared" si="31"/>
        <v>0</v>
      </c>
      <c r="S107" s="125">
        <f>SUM(S95,S101)</f>
        <v>0</v>
      </c>
      <c r="T107" s="130">
        <f>S107/F107*100</f>
        <v>0</v>
      </c>
      <c r="U107" s="127">
        <f t="shared" si="39"/>
        <v>0</v>
      </c>
      <c r="V107" s="125">
        <f>SUM(V95,V101)</f>
        <v>206</v>
      </c>
      <c r="W107" s="131">
        <f t="shared" si="32"/>
        <v>19.826756496631376</v>
      </c>
    </row>
    <row r="108" spans="1:23" ht="9.75" customHeight="1">
      <c r="A108" s="301"/>
      <c r="B108" s="119" t="s">
        <v>99</v>
      </c>
      <c r="C108" s="258"/>
      <c r="D108" s="258"/>
      <c r="E108" s="264"/>
      <c r="F108" s="20">
        <f>SUM(F96,F102)</f>
        <v>121</v>
      </c>
      <c r="G108" s="270"/>
      <c r="H108" s="20">
        <f t="shared" si="35"/>
        <v>0</v>
      </c>
      <c r="I108" s="22">
        <f t="shared" si="36"/>
        <v>0</v>
      </c>
      <c r="J108" s="20">
        <f t="shared" si="37"/>
        <v>0</v>
      </c>
      <c r="K108" s="22" t="e">
        <f t="shared" si="29"/>
        <v>#DIV/0!</v>
      </c>
      <c r="L108" s="20">
        <f t="shared" si="45"/>
        <v>0</v>
      </c>
      <c r="M108" s="20">
        <f t="shared" si="45"/>
        <v>0</v>
      </c>
      <c r="N108" s="20">
        <f t="shared" si="45"/>
        <v>0</v>
      </c>
      <c r="O108" s="20">
        <f t="shared" si="45"/>
        <v>0</v>
      </c>
      <c r="P108" s="20">
        <f t="shared" si="45"/>
        <v>0</v>
      </c>
      <c r="Q108" s="23">
        <f t="shared" si="45"/>
        <v>0</v>
      </c>
      <c r="R108" s="24">
        <f t="shared" si="31"/>
        <v>0</v>
      </c>
      <c r="S108" s="20">
        <f>SUM(S96,S102)</f>
        <v>0</v>
      </c>
      <c r="T108" s="166">
        <f>S108/F108*100</f>
        <v>0</v>
      </c>
      <c r="U108" s="21" t="e">
        <f t="shared" si="39"/>
        <v>#DIV/0!</v>
      </c>
      <c r="V108" s="20">
        <f>SUM(V96,V102)</f>
        <v>30</v>
      </c>
      <c r="W108" s="25">
        <f t="shared" si="32"/>
        <v>24.793388429752067</v>
      </c>
    </row>
    <row r="109" spans="1:23" ht="9.75" customHeight="1">
      <c r="A109" s="301"/>
      <c r="B109" s="119" t="s">
        <v>97</v>
      </c>
      <c r="C109" s="20">
        <f>SUM(C97,C103)</f>
        <v>22937</v>
      </c>
      <c r="D109" s="20">
        <f>SUM(D97,D103)</f>
        <v>13609</v>
      </c>
      <c r="E109" s="237">
        <f t="shared" si="34"/>
        <v>59.33208353315603</v>
      </c>
      <c r="F109" s="20">
        <f>SUM(F97,F103)</f>
        <v>2187</v>
      </c>
      <c r="G109" s="21">
        <f t="shared" si="28"/>
        <v>16.07024763024469</v>
      </c>
      <c r="H109" s="20">
        <f t="shared" si="35"/>
        <v>55</v>
      </c>
      <c r="I109" s="22">
        <f t="shared" si="36"/>
        <v>2.5148605395518975</v>
      </c>
      <c r="J109" s="20">
        <f t="shared" si="37"/>
        <v>48</v>
      </c>
      <c r="K109" s="22">
        <f t="shared" si="29"/>
        <v>87.27272727272727</v>
      </c>
      <c r="L109" s="20">
        <f t="shared" si="45"/>
        <v>20</v>
      </c>
      <c r="M109" s="20">
        <f t="shared" si="45"/>
        <v>2</v>
      </c>
      <c r="N109" s="20">
        <f t="shared" si="45"/>
        <v>0</v>
      </c>
      <c r="O109" s="20">
        <f t="shared" si="45"/>
        <v>26</v>
      </c>
      <c r="P109" s="20">
        <f t="shared" si="45"/>
        <v>0</v>
      </c>
      <c r="Q109" s="23">
        <f t="shared" si="45"/>
        <v>7</v>
      </c>
      <c r="R109" s="24">
        <f t="shared" si="31"/>
        <v>0.09144947416552354</v>
      </c>
      <c r="S109" s="20">
        <f>SUM(S97,S103)</f>
        <v>0</v>
      </c>
      <c r="T109" s="166">
        <f>S109/F109*100</f>
        <v>0</v>
      </c>
      <c r="U109" s="21">
        <f t="shared" si="39"/>
        <v>4.166666666666666</v>
      </c>
      <c r="V109" s="20">
        <f>SUM(V97,V103)</f>
        <v>322</v>
      </c>
      <c r="W109" s="25">
        <f t="shared" si="32"/>
        <v>14.723365340649291</v>
      </c>
    </row>
    <row r="110" spans="1:23" ht="9.75" customHeight="1">
      <c r="A110" s="301"/>
      <c r="B110" s="223" t="s">
        <v>98</v>
      </c>
      <c r="C110" s="260"/>
      <c r="D110" s="260"/>
      <c r="E110" s="265"/>
      <c r="F110" s="133">
        <f>SUM(F98,F104)</f>
        <v>21</v>
      </c>
      <c r="G110" s="271"/>
      <c r="H110" s="133">
        <f t="shared" si="35"/>
        <v>0</v>
      </c>
      <c r="I110" s="135">
        <f t="shared" si="36"/>
        <v>0</v>
      </c>
      <c r="J110" s="133">
        <f t="shared" si="37"/>
        <v>0</v>
      </c>
      <c r="K110" s="135" t="e">
        <f t="shared" si="29"/>
        <v>#DIV/0!</v>
      </c>
      <c r="L110" s="133">
        <f t="shared" si="45"/>
        <v>0</v>
      </c>
      <c r="M110" s="133">
        <f t="shared" si="45"/>
        <v>0</v>
      </c>
      <c r="N110" s="133">
        <f t="shared" si="45"/>
        <v>0</v>
      </c>
      <c r="O110" s="133">
        <f t="shared" si="45"/>
        <v>0</v>
      </c>
      <c r="P110" s="133">
        <f t="shared" si="45"/>
        <v>0</v>
      </c>
      <c r="Q110" s="256">
        <f t="shared" si="45"/>
        <v>0</v>
      </c>
      <c r="R110" s="136">
        <f t="shared" si="31"/>
        <v>0</v>
      </c>
      <c r="S110" s="133">
        <f>SUM(S98,S104)</f>
        <v>0</v>
      </c>
      <c r="T110" s="167">
        <f>S110/F110*100</f>
        <v>0</v>
      </c>
      <c r="U110" s="134" t="e">
        <f t="shared" si="39"/>
        <v>#DIV/0!</v>
      </c>
      <c r="V110" s="133">
        <f>SUM(V98,V104)</f>
        <v>13</v>
      </c>
      <c r="W110" s="137">
        <f t="shared" si="32"/>
        <v>61.904761904761905</v>
      </c>
    </row>
    <row r="111" spans="1:23" ht="9.75" customHeight="1">
      <c r="A111" s="302"/>
      <c r="B111" s="228" t="s">
        <v>111</v>
      </c>
      <c r="C111" s="238">
        <f>SUM(C107,C109)</f>
        <v>42684</v>
      </c>
      <c r="D111" s="238">
        <f>SUM(D107,D109)</f>
        <v>20820</v>
      </c>
      <c r="E111" s="253">
        <f t="shared" si="34"/>
        <v>48.777059319651386</v>
      </c>
      <c r="F111" s="238">
        <f>SUM(F107,F109)</f>
        <v>3226</v>
      </c>
      <c r="G111" s="239">
        <f t="shared" si="28"/>
        <v>15.494716618635925</v>
      </c>
      <c r="H111" s="238">
        <f t="shared" si="35"/>
        <v>87</v>
      </c>
      <c r="I111" s="240">
        <f t="shared" si="36"/>
        <v>2.6968381897086178</v>
      </c>
      <c r="J111" s="238">
        <f t="shared" si="37"/>
        <v>76</v>
      </c>
      <c r="K111" s="240">
        <f t="shared" si="29"/>
        <v>87.35632183908046</v>
      </c>
      <c r="L111" s="238">
        <f aca="true" t="shared" si="46" ref="L111:Q112">SUM(L107,L109)</f>
        <v>29</v>
      </c>
      <c r="M111" s="238">
        <f t="shared" si="46"/>
        <v>2</v>
      </c>
      <c r="N111" s="238">
        <f t="shared" si="46"/>
        <v>0</v>
      </c>
      <c r="O111" s="238">
        <f t="shared" si="46"/>
        <v>45</v>
      </c>
      <c r="P111" s="238">
        <f t="shared" si="46"/>
        <v>0</v>
      </c>
      <c r="Q111" s="241">
        <f t="shared" si="46"/>
        <v>11</v>
      </c>
      <c r="R111" s="242">
        <f t="shared" si="31"/>
        <v>0.06199628022318661</v>
      </c>
      <c r="S111" s="238">
        <f>SUM(S107,S109)</f>
        <v>0</v>
      </c>
      <c r="T111" s="243">
        <f>S111/F111*100</f>
        <v>0</v>
      </c>
      <c r="U111" s="239">
        <f t="shared" si="39"/>
        <v>2.631578947368421</v>
      </c>
      <c r="V111" s="238">
        <f>SUM(V107,V109)</f>
        <v>528</v>
      </c>
      <c r="W111" s="244">
        <f t="shared" si="32"/>
        <v>16.367017978921265</v>
      </c>
    </row>
    <row r="112" spans="1:23" ht="9.75" customHeight="1" thickBot="1">
      <c r="A112" s="303"/>
      <c r="B112" s="229" t="s">
        <v>112</v>
      </c>
      <c r="C112" s="262"/>
      <c r="D112" s="262"/>
      <c r="E112" s="263"/>
      <c r="F112" s="245">
        <f>SUM(F108,F110)</f>
        <v>142</v>
      </c>
      <c r="G112" s="272"/>
      <c r="H112" s="245">
        <f t="shared" si="35"/>
        <v>0</v>
      </c>
      <c r="I112" s="247">
        <f t="shared" si="36"/>
        <v>0</v>
      </c>
      <c r="J112" s="245">
        <f t="shared" si="37"/>
        <v>0</v>
      </c>
      <c r="K112" s="247" t="e">
        <f t="shared" si="29"/>
        <v>#DIV/0!</v>
      </c>
      <c r="L112" s="245">
        <f t="shared" si="46"/>
        <v>0</v>
      </c>
      <c r="M112" s="245">
        <f t="shared" si="46"/>
        <v>0</v>
      </c>
      <c r="N112" s="245">
        <f t="shared" si="46"/>
        <v>0</v>
      </c>
      <c r="O112" s="245">
        <f t="shared" si="46"/>
        <v>0</v>
      </c>
      <c r="P112" s="245">
        <f t="shared" si="46"/>
        <v>0</v>
      </c>
      <c r="Q112" s="248">
        <f t="shared" si="46"/>
        <v>0</v>
      </c>
      <c r="R112" s="249">
        <f t="shared" si="31"/>
        <v>0</v>
      </c>
      <c r="S112" s="245">
        <f>SUM(S108,S110)</f>
        <v>0</v>
      </c>
      <c r="T112" s="250">
        <f>S112/F112</f>
        <v>0</v>
      </c>
      <c r="U112" s="246" t="e">
        <f t="shared" si="39"/>
        <v>#DIV/0!</v>
      </c>
      <c r="V112" s="245">
        <f>SUM(V108,V110)</f>
        <v>43</v>
      </c>
      <c r="W112" s="251">
        <f t="shared" si="32"/>
        <v>30.28169014084507</v>
      </c>
    </row>
    <row r="113" spans="1:23" ht="9.75" customHeight="1">
      <c r="A113" s="297" t="s">
        <v>19</v>
      </c>
      <c r="B113" s="41" t="s">
        <v>96</v>
      </c>
      <c r="C113" s="111">
        <v>15711</v>
      </c>
      <c r="D113" s="111">
        <v>7446</v>
      </c>
      <c r="E113" s="121">
        <f t="shared" si="34"/>
        <v>47.39354592323849</v>
      </c>
      <c r="F113" s="122">
        <v>2448</v>
      </c>
      <c r="G113" s="113">
        <f t="shared" si="28"/>
        <v>32.87671232876712</v>
      </c>
      <c r="H113" s="111">
        <f t="shared" si="35"/>
        <v>80</v>
      </c>
      <c r="I113" s="123">
        <f t="shared" si="36"/>
        <v>3.2679738562091507</v>
      </c>
      <c r="J113" s="111">
        <f t="shared" si="37"/>
        <v>55</v>
      </c>
      <c r="K113" s="123">
        <f t="shared" si="29"/>
        <v>68.75</v>
      </c>
      <c r="L113" s="111">
        <v>12</v>
      </c>
      <c r="M113" s="111">
        <v>2</v>
      </c>
      <c r="N113" s="111">
        <v>0</v>
      </c>
      <c r="O113" s="111">
        <v>41</v>
      </c>
      <c r="P113" s="111">
        <v>3</v>
      </c>
      <c r="Q113" s="124">
        <v>22</v>
      </c>
      <c r="R113" s="112">
        <f t="shared" si="31"/>
        <v>0.08169934640522876</v>
      </c>
      <c r="S113" s="205">
        <v>0</v>
      </c>
      <c r="T113" s="112">
        <f>S113/F113*100</f>
        <v>0</v>
      </c>
      <c r="U113" s="113">
        <f t="shared" si="39"/>
        <v>3.6363636363636362</v>
      </c>
      <c r="V113" s="111">
        <v>430</v>
      </c>
      <c r="W113" s="114">
        <f t="shared" si="32"/>
        <v>17.565359477124183</v>
      </c>
    </row>
    <row r="114" spans="1:23" ht="9.75" customHeight="1">
      <c r="A114" s="298"/>
      <c r="B114" s="42" t="s">
        <v>99</v>
      </c>
      <c r="C114" s="258"/>
      <c r="D114" s="258"/>
      <c r="E114" s="264"/>
      <c r="F114" s="107">
        <v>132</v>
      </c>
      <c r="G114" s="270"/>
      <c r="H114" s="26">
        <f t="shared" si="35"/>
        <v>0</v>
      </c>
      <c r="I114" s="29">
        <f t="shared" si="36"/>
        <v>0</v>
      </c>
      <c r="J114" s="26">
        <f t="shared" si="37"/>
        <v>0</v>
      </c>
      <c r="K114" s="29" t="e">
        <f t="shared" si="29"/>
        <v>#DIV/0!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30">
        <v>0</v>
      </c>
      <c r="R114" s="31">
        <f t="shared" si="31"/>
        <v>0</v>
      </c>
      <c r="S114" s="206">
        <v>0</v>
      </c>
      <c r="T114" s="168">
        <f>S114/F114*100</f>
        <v>0</v>
      </c>
      <c r="U114" s="27" t="e">
        <f t="shared" si="39"/>
        <v>#DIV/0!</v>
      </c>
      <c r="V114" s="26">
        <v>25</v>
      </c>
      <c r="W114" s="32">
        <f t="shared" si="32"/>
        <v>18.939393939393938</v>
      </c>
    </row>
    <row r="115" spans="1:23" ht="9.75" customHeight="1">
      <c r="A115" s="298"/>
      <c r="B115" s="42" t="s">
        <v>97</v>
      </c>
      <c r="C115" s="26">
        <v>18756</v>
      </c>
      <c r="D115" s="26">
        <v>13010</v>
      </c>
      <c r="E115" s="121">
        <f t="shared" si="34"/>
        <v>69.36447003625507</v>
      </c>
      <c r="F115" s="107">
        <v>4979</v>
      </c>
      <c r="G115" s="27">
        <f t="shared" si="28"/>
        <v>38.27056110684089</v>
      </c>
      <c r="H115" s="26">
        <f t="shared" si="35"/>
        <v>97</v>
      </c>
      <c r="I115" s="29">
        <f t="shared" si="36"/>
        <v>1.948182365936935</v>
      </c>
      <c r="J115" s="26">
        <f t="shared" si="37"/>
        <v>74</v>
      </c>
      <c r="K115" s="29">
        <f t="shared" si="29"/>
        <v>76.28865979381443</v>
      </c>
      <c r="L115" s="26">
        <v>14</v>
      </c>
      <c r="M115" s="26">
        <v>4</v>
      </c>
      <c r="N115" s="26">
        <v>0</v>
      </c>
      <c r="O115" s="26">
        <v>56</v>
      </c>
      <c r="P115" s="26">
        <v>6</v>
      </c>
      <c r="Q115" s="30">
        <v>17</v>
      </c>
      <c r="R115" s="31">
        <f t="shared" si="31"/>
        <v>0.08033741715203856</v>
      </c>
      <c r="S115" s="206">
        <v>0</v>
      </c>
      <c r="T115" s="168">
        <f>S115/F115*100</f>
        <v>0</v>
      </c>
      <c r="U115" s="27">
        <f t="shared" si="39"/>
        <v>5.405405405405405</v>
      </c>
      <c r="V115" s="26">
        <v>796</v>
      </c>
      <c r="W115" s="32">
        <f t="shared" si="32"/>
        <v>15.987146013255673</v>
      </c>
    </row>
    <row r="116" spans="1:23" ht="9.75" customHeight="1">
      <c r="A116" s="298"/>
      <c r="B116" s="41" t="s">
        <v>98</v>
      </c>
      <c r="C116" s="260"/>
      <c r="D116" s="260"/>
      <c r="E116" s="265"/>
      <c r="F116" s="108">
        <v>11</v>
      </c>
      <c r="G116" s="271"/>
      <c r="H116" s="105">
        <f t="shared" si="35"/>
        <v>0</v>
      </c>
      <c r="I116" s="106">
        <f t="shared" si="36"/>
        <v>0</v>
      </c>
      <c r="J116" s="105">
        <f t="shared" si="37"/>
        <v>0</v>
      </c>
      <c r="K116" s="106" t="e">
        <f t="shared" si="29"/>
        <v>#DIV/0!</v>
      </c>
      <c r="L116" s="105">
        <v>0</v>
      </c>
      <c r="M116" s="105">
        <v>0</v>
      </c>
      <c r="N116" s="105">
        <v>0</v>
      </c>
      <c r="O116" s="105">
        <v>0</v>
      </c>
      <c r="P116" s="105">
        <v>0</v>
      </c>
      <c r="Q116" s="115">
        <v>0</v>
      </c>
      <c r="R116" s="116">
        <f t="shared" si="31"/>
        <v>0</v>
      </c>
      <c r="S116" s="207">
        <v>0</v>
      </c>
      <c r="T116" s="208">
        <f>S116/F116*100</f>
        <v>0</v>
      </c>
      <c r="U116" s="104" t="e">
        <f t="shared" si="39"/>
        <v>#DIV/0!</v>
      </c>
      <c r="V116" s="105">
        <v>3</v>
      </c>
      <c r="W116" s="117">
        <f t="shared" si="32"/>
        <v>27.27272727272727</v>
      </c>
    </row>
    <row r="117" spans="1:23" ht="9.75" customHeight="1">
      <c r="A117" s="298"/>
      <c r="B117" s="209" t="s">
        <v>111</v>
      </c>
      <c r="C117" s="210">
        <f>SUM(C113,C115)</f>
        <v>34467</v>
      </c>
      <c r="D117" s="210">
        <f>SUM(D113,D115)</f>
        <v>20456</v>
      </c>
      <c r="E117" s="211">
        <f t="shared" si="34"/>
        <v>59.34952273188847</v>
      </c>
      <c r="F117" s="210">
        <f>SUM(F113,F115)</f>
        <v>7427</v>
      </c>
      <c r="G117" s="212">
        <f t="shared" si="28"/>
        <v>36.30719593273367</v>
      </c>
      <c r="H117" s="210">
        <f t="shared" si="35"/>
        <v>177</v>
      </c>
      <c r="I117" s="56">
        <f t="shared" si="36"/>
        <v>2.3831964454019117</v>
      </c>
      <c r="J117" s="210">
        <f t="shared" si="37"/>
        <v>129</v>
      </c>
      <c r="K117" s="56">
        <f t="shared" si="29"/>
        <v>72.88135593220339</v>
      </c>
      <c r="L117" s="210">
        <f aca="true" t="shared" si="47" ref="L117:Q118">SUM(L113,L115)</f>
        <v>26</v>
      </c>
      <c r="M117" s="210">
        <f t="shared" si="47"/>
        <v>6</v>
      </c>
      <c r="N117" s="210">
        <f t="shared" si="47"/>
        <v>0</v>
      </c>
      <c r="O117" s="210">
        <f t="shared" si="47"/>
        <v>97</v>
      </c>
      <c r="P117" s="210">
        <f t="shared" si="47"/>
        <v>9</v>
      </c>
      <c r="Q117" s="213">
        <f t="shared" si="47"/>
        <v>39</v>
      </c>
      <c r="R117" s="214">
        <f t="shared" si="31"/>
        <v>0.08078632018311566</v>
      </c>
      <c r="S117" s="210">
        <f>SUM(S113,S115)</f>
        <v>0</v>
      </c>
      <c r="T117" s="216">
        <f>S117/F117*100</f>
        <v>0</v>
      </c>
      <c r="U117" s="212">
        <f t="shared" si="39"/>
        <v>4.651162790697675</v>
      </c>
      <c r="V117" s="210">
        <f>SUM(V113,V115)</f>
        <v>1226</v>
      </c>
      <c r="W117" s="227">
        <f t="shared" si="32"/>
        <v>16.507338090749965</v>
      </c>
    </row>
    <row r="118" spans="1:23" ht="9.75" customHeight="1">
      <c r="A118" s="298"/>
      <c r="B118" s="217" t="s">
        <v>112</v>
      </c>
      <c r="C118" s="266"/>
      <c r="D118" s="266"/>
      <c r="E118" s="268"/>
      <c r="F118" s="218">
        <f>SUM(F114,F116)</f>
        <v>143</v>
      </c>
      <c r="G118" s="273"/>
      <c r="H118" s="218">
        <f t="shared" si="35"/>
        <v>0</v>
      </c>
      <c r="I118" s="220">
        <f t="shared" si="36"/>
        <v>0</v>
      </c>
      <c r="J118" s="218">
        <f t="shared" si="37"/>
        <v>0</v>
      </c>
      <c r="K118" s="220" t="e">
        <f t="shared" si="29"/>
        <v>#DIV/0!</v>
      </c>
      <c r="L118" s="218">
        <f t="shared" si="47"/>
        <v>0</v>
      </c>
      <c r="M118" s="218">
        <f t="shared" si="47"/>
        <v>0</v>
      </c>
      <c r="N118" s="218">
        <f t="shared" si="47"/>
        <v>0</v>
      </c>
      <c r="O118" s="218">
        <f t="shared" si="47"/>
        <v>0</v>
      </c>
      <c r="P118" s="218">
        <f t="shared" si="47"/>
        <v>0</v>
      </c>
      <c r="Q118" s="221">
        <f t="shared" si="47"/>
        <v>0</v>
      </c>
      <c r="R118" s="222">
        <f t="shared" si="31"/>
        <v>0</v>
      </c>
      <c r="S118" s="218">
        <f>SUM(S114,S116)</f>
        <v>0</v>
      </c>
      <c r="T118" s="169">
        <f>S118/F118</f>
        <v>0</v>
      </c>
      <c r="U118" s="219" t="e">
        <f t="shared" si="39"/>
        <v>#DIV/0!</v>
      </c>
      <c r="V118" s="218">
        <f>SUM(V114,V116)</f>
        <v>28</v>
      </c>
      <c r="W118" s="338">
        <f t="shared" si="32"/>
        <v>19.58041958041958</v>
      </c>
    </row>
    <row r="119" spans="1:23" ht="9.75" customHeight="1">
      <c r="A119" s="291" t="s">
        <v>91</v>
      </c>
      <c r="B119" s="41" t="s">
        <v>96</v>
      </c>
      <c r="C119" s="111">
        <v>12965</v>
      </c>
      <c r="D119" s="111">
        <v>4854</v>
      </c>
      <c r="E119" s="121">
        <f t="shared" si="34"/>
        <v>37.43925954492865</v>
      </c>
      <c r="F119" s="122">
        <v>1930</v>
      </c>
      <c r="G119" s="113">
        <f t="shared" si="28"/>
        <v>39.76102183765966</v>
      </c>
      <c r="H119" s="111">
        <f t="shared" si="35"/>
        <v>68</v>
      </c>
      <c r="I119" s="123">
        <f t="shared" si="36"/>
        <v>3.5233160621761654</v>
      </c>
      <c r="J119" s="111">
        <f t="shared" si="37"/>
        <v>0</v>
      </c>
      <c r="K119" s="123">
        <f t="shared" si="29"/>
        <v>0</v>
      </c>
      <c r="L119" s="111">
        <v>0</v>
      </c>
      <c r="M119" s="111">
        <v>0</v>
      </c>
      <c r="N119" s="111">
        <v>0</v>
      </c>
      <c r="O119" s="111">
        <v>0</v>
      </c>
      <c r="P119" s="111">
        <v>0</v>
      </c>
      <c r="Q119" s="124">
        <v>68</v>
      </c>
      <c r="R119" s="112">
        <f t="shared" si="31"/>
        <v>0</v>
      </c>
      <c r="S119" s="205">
        <v>0</v>
      </c>
      <c r="T119" s="112">
        <f>S119/F119*100</f>
        <v>0</v>
      </c>
      <c r="U119" s="113" t="e">
        <f t="shared" si="39"/>
        <v>#DIV/0!</v>
      </c>
      <c r="V119" s="111">
        <v>316</v>
      </c>
      <c r="W119" s="114">
        <f t="shared" si="32"/>
        <v>16.37305699481865</v>
      </c>
    </row>
    <row r="120" spans="1:23" ht="9.75" customHeight="1">
      <c r="A120" s="291"/>
      <c r="B120" s="42" t="s">
        <v>99</v>
      </c>
      <c r="C120" s="258"/>
      <c r="D120" s="258"/>
      <c r="E120" s="264"/>
      <c r="F120" s="107">
        <v>185</v>
      </c>
      <c r="G120" s="270"/>
      <c r="H120" s="26">
        <f t="shared" si="35"/>
        <v>2</v>
      </c>
      <c r="I120" s="29">
        <f t="shared" si="36"/>
        <v>1.0810810810810811</v>
      </c>
      <c r="J120" s="26">
        <f t="shared" si="37"/>
        <v>0</v>
      </c>
      <c r="K120" s="29">
        <f t="shared" si="29"/>
        <v>0</v>
      </c>
      <c r="L120" s="26">
        <v>0</v>
      </c>
      <c r="M120" s="26">
        <v>0</v>
      </c>
      <c r="N120" s="26">
        <v>0</v>
      </c>
      <c r="O120" s="26">
        <v>0</v>
      </c>
      <c r="P120" s="26">
        <v>0</v>
      </c>
      <c r="Q120" s="30">
        <v>2</v>
      </c>
      <c r="R120" s="31">
        <f t="shared" si="31"/>
        <v>0</v>
      </c>
      <c r="S120" s="206">
        <v>0</v>
      </c>
      <c r="T120" s="168">
        <f>S120/F120*100</f>
        <v>0</v>
      </c>
      <c r="U120" s="27" t="e">
        <f t="shared" si="39"/>
        <v>#DIV/0!</v>
      </c>
      <c r="V120" s="26">
        <v>23</v>
      </c>
      <c r="W120" s="32">
        <f t="shared" si="32"/>
        <v>12.432432432432433</v>
      </c>
    </row>
    <row r="121" spans="1:23" ht="9.75" customHeight="1">
      <c r="A121" s="291"/>
      <c r="B121" s="42" t="s">
        <v>97</v>
      </c>
      <c r="C121" s="26">
        <v>15288</v>
      </c>
      <c r="D121" s="26">
        <v>5723</v>
      </c>
      <c r="E121" s="121">
        <f t="shared" si="34"/>
        <v>37.43458922030351</v>
      </c>
      <c r="F121" s="107">
        <v>3491</v>
      </c>
      <c r="G121" s="27">
        <f t="shared" si="28"/>
        <v>60.999475799405914</v>
      </c>
      <c r="H121" s="26">
        <f t="shared" si="35"/>
        <v>86</v>
      </c>
      <c r="I121" s="29">
        <f t="shared" si="36"/>
        <v>2.4634775136064166</v>
      </c>
      <c r="J121" s="26">
        <f t="shared" si="37"/>
        <v>0</v>
      </c>
      <c r="K121" s="29">
        <f t="shared" si="29"/>
        <v>0</v>
      </c>
      <c r="L121" s="26">
        <v>0</v>
      </c>
      <c r="M121" s="26">
        <v>0</v>
      </c>
      <c r="N121" s="26">
        <v>0</v>
      </c>
      <c r="O121" s="26">
        <v>0</v>
      </c>
      <c r="P121" s="26">
        <v>0</v>
      </c>
      <c r="Q121" s="30">
        <v>86</v>
      </c>
      <c r="R121" s="31">
        <f t="shared" si="31"/>
        <v>0</v>
      </c>
      <c r="S121" s="206">
        <v>0</v>
      </c>
      <c r="T121" s="168">
        <f>S121/F121*100</f>
        <v>0</v>
      </c>
      <c r="U121" s="27" t="e">
        <f t="shared" si="39"/>
        <v>#DIV/0!</v>
      </c>
      <c r="V121" s="26">
        <v>527</v>
      </c>
      <c r="W121" s="32">
        <f t="shared" si="32"/>
        <v>15.09596104268118</v>
      </c>
    </row>
    <row r="122" spans="1:23" ht="9.75" customHeight="1">
      <c r="A122" s="291"/>
      <c r="B122" s="41" t="s">
        <v>98</v>
      </c>
      <c r="C122" s="260"/>
      <c r="D122" s="260"/>
      <c r="E122" s="265"/>
      <c r="F122" s="108">
        <v>33</v>
      </c>
      <c r="G122" s="271"/>
      <c r="H122" s="105">
        <f t="shared" si="35"/>
        <v>2</v>
      </c>
      <c r="I122" s="106">
        <f t="shared" si="36"/>
        <v>6.0606060606060606</v>
      </c>
      <c r="J122" s="105">
        <f t="shared" si="37"/>
        <v>0</v>
      </c>
      <c r="K122" s="106">
        <f t="shared" si="29"/>
        <v>0</v>
      </c>
      <c r="L122" s="105">
        <v>0</v>
      </c>
      <c r="M122" s="105">
        <v>0</v>
      </c>
      <c r="N122" s="105">
        <v>0</v>
      </c>
      <c r="O122" s="105">
        <v>0</v>
      </c>
      <c r="P122" s="105">
        <v>0</v>
      </c>
      <c r="Q122" s="115">
        <v>2</v>
      </c>
      <c r="R122" s="116">
        <f t="shared" si="31"/>
        <v>0</v>
      </c>
      <c r="S122" s="207">
        <v>0</v>
      </c>
      <c r="T122" s="208">
        <f>S122/F122*100</f>
        <v>0</v>
      </c>
      <c r="U122" s="104" t="e">
        <f t="shared" si="39"/>
        <v>#DIV/0!</v>
      </c>
      <c r="V122" s="105">
        <v>7</v>
      </c>
      <c r="W122" s="117">
        <f t="shared" si="32"/>
        <v>21.21212121212121</v>
      </c>
    </row>
    <row r="123" spans="1:23" ht="9.75" customHeight="1">
      <c r="A123" s="291"/>
      <c r="B123" s="209" t="s">
        <v>111</v>
      </c>
      <c r="C123" s="210">
        <f>SUM(C119,C121)</f>
        <v>28253</v>
      </c>
      <c r="D123" s="210">
        <f>SUM(D119,D121)</f>
        <v>10577</v>
      </c>
      <c r="E123" s="211">
        <f t="shared" si="34"/>
        <v>37.436732382401864</v>
      </c>
      <c r="F123" s="210">
        <f>SUM(F119,F121)</f>
        <v>5421</v>
      </c>
      <c r="G123" s="212">
        <f t="shared" si="28"/>
        <v>51.252718162049725</v>
      </c>
      <c r="H123" s="210">
        <f t="shared" si="35"/>
        <v>154</v>
      </c>
      <c r="I123" s="56">
        <f t="shared" si="36"/>
        <v>2.8408042796532005</v>
      </c>
      <c r="J123" s="210">
        <f t="shared" si="37"/>
        <v>0</v>
      </c>
      <c r="K123" s="56">
        <f t="shared" si="29"/>
        <v>0</v>
      </c>
      <c r="L123" s="210">
        <f aca="true" t="shared" si="48" ref="L123:Q124">SUM(L119,L121)</f>
        <v>0</v>
      </c>
      <c r="M123" s="210">
        <f t="shared" si="48"/>
        <v>0</v>
      </c>
      <c r="N123" s="210">
        <f t="shared" si="48"/>
        <v>0</v>
      </c>
      <c r="O123" s="210">
        <f t="shared" si="48"/>
        <v>0</v>
      </c>
      <c r="P123" s="210">
        <f t="shared" si="48"/>
        <v>0</v>
      </c>
      <c r="Q123" s="213">
        <f t="shared" si="48"/>
        <v>154</v>
      </c>
      <c r="R123" s="214">
        <f t="shared" si="31"/>
        <v>0</v>
      </c>
      <c r="S123" s="210">
        <f>SUM(S119,S121)</f>
        <v>0</v>
      </c>
      <c r="T123" s="216">
        <f>S123/F123*100</f>
        <v>0</v>
      </c>
      <c r="U123" s="212" t="e">
        <f t="shared" si="39"/>
        <v>#DIV/0!</v>
      </c>
      <c r="V123" s="210">
        <f>SUM(V119,V121)</f>
        <v>843</v>
      </c>
      <c r="W123" s="227">
        <f t="shared" si="32"/>
        <v>15.550636413945767</v>
      </c>
    </row>
    <row r="124" spans="1:23" ht="9.75" customHeight="1">
      <c r="A124" s="291"/>
      <c r="B124" s="217" t="s">
        <v>112</v>
      </c>
      <c r="C124" s="266"/>
      <c r="D124" s="266"/>
      <c r="E124" s="268"/>
      <c r="F124" s="218">
        <f>SUM(F120,F122)</f>
        <v>218</v>
      </c>
      <c r="G124" s="273"/>
      <c r="H124" s="218">
        <f t="shared" si="35"/>
        <v>4</v>
      </c>
      <c r="I124" s="220">
        <f t="shared" si="36"/>
        <v>1.834862385321101</v>
      </c>
      <c r="J124" s="218">
        <f t="shared" si="37"/>
        <v>0</v>
      </c>
      <c r="K124" s="220">
        <f t="shared" si="29"/>
        <v>0</v>
      </c>
      <c r="L124" s="218">
        <f t="shared" si="48"/>
        <v>0</v>
      </c>
      <c r="M124" s="218">
        <f t="shared" si="48"/>
        <v>0</v>
      </c>
      <c r="N124" s="218">
        <f t="shared" si="48"/>
        <v>0</v>
      </c>
      <c r="O124" s="218">
        <f t="shared" si="48"/>
        <v>0</v>
      </c>
      <c r="P124" s="218">
        <f t="shared" si="48"/>
        <v>0</v>
      </c>
      <c r="Q124" s="221">
        <f t="shared" si="48"/>
        <v>4</v>
      </c>
      <c r="R124" s="222">
        <f t="shared" si="31"/>
        <v>0</v>
      </c>
      <c r="S124" s="218">
        <f>SUM(S120,S122)</f>
        <v>0</v>
      </c>
      <c r="T124" s="169">
        <f>S124/F124</f>
        <v>0</v>
      </c>
      <c r="U124" s="219" t="e">
        <f t="shared" si="39"/>
        <v>#DIV/0!</v>
      </c>
      <c r="V124" s="218">
        <f>SUM(V120,V122)</f>
        <v>30</v>
      </c>
      <c r="W124" s="338">
        <f t="shared" si="32"/>
        <v>13.761467889908257</v>
      </c>
    </row>
    <row r="125" spans="1:23" ht="9.75" customHeight="1">
      <c r="A125" s="298" t="s">
        <v>20</v>
      </c>
      <c r="B125" s="41" t="s">
        <v>96</v>
      </c>
      <c r="C125" s="111">
        <v>10465</v>
      </c>
      <c r="D125" s="111">
        <v>4537</v>
      </c>
      <c r="E125" s="121">
        <f t="shared" si="34"/>
        <v>43.35403726708075</v>
      </c>
      <c r="F125" s="122">
        <v>2274</v>
      </c>
      <c r="G125" s="113">
        <f t="shared" si="28"/>
        <v>50.121225479391676</v>
      </c>
      <c r="H125" s="111">
        <f t="shared" si="35"/>
        <v>58</v>
      </c>
      <c r="I125" s="123">
        <f t="shared" si="36"/>
        <v>2.550571679859279</v>
      </c>
      <c r="J125" s="111">
        <f t="shared" si="37"/>
        <v>48</v>
      </c>
      <c r="K125" s="123">
        <f t="shared" si="29"/>
        <v>82.75862068965517</v>
      </c>
      <c r="L125" s="111">
        <v>22</v>
      </c>
      <c r="M125" s="111">
        <v>0</v>
      </c>
      <c r="N125" s="111">
        <v>1</v>
      </c>
      <c r="O125" s="111">
        <v>25</v>
      </c>
      <c r="P125" s="111">
        <v>7</v>
      </c>
      <c r="Q125" s="124">
        <v>3</v>
      </c>
      <c r="R125" s="112">
        <f t="shared" si="31"/>
        <v>0</v>
      </c>
      <c r="S125" s="205">
        <v>0</v>
      </c>
      <c r="T125" s="112">
        <f>S125/F125*100</f>
        <v>0</v>
      </c>
      <c r="U125" s="113">
        <f t="shared" si="39"/>
        <v>0</v>
      </c>
      <c r="V125" s="111">
        <v>393</v>
      </c>
      <c r="W125" s="114">
        <f t="shared" si="32"/>
        <v>17.282321899736147</v>
      </c>
    </row>
    <row r="126" spans="1:23" ht="9.75" customHeight="1">
      <c r="A126" s="298"/>
      <c r="B126" s="42" t="s">
        <v>99</v>
      </c>
      <c r="C126" s="258"/>
      <c r="D126" s="258"/>
      <c r="E126" s="264"/>
      <c r="F126" s="107">
        <v>207</v>
      </c>
      <c r="G126" s="270"/>
      <c r="H126" s="26">
        <f t="shared" si="35"/>
        <v>0</v>
      </c>
      <c r="I126" s="29">
        <f t="shared" si="36"/>
        <v>0</v>
      </c>
      <c r="J126" s="26">
        <f t="shared" si="37"/>
        <v>0</v>
      </c>
      <c r="K126" s="29" t="e">
        <f t="shared" si="29"/>
        <v>#DIV/0!</v>
      </c>
      <c r="L126" s="26">
        <v>0</v>
      </c>
      <c r="M126" s="26">
        <v>0</v>
      </c>
      <c r="N126" s="26">
        <v>0</v>
      </c>
      <c r="O126" s="26">
        <v>0</v>
      </c>
      <c r="P126" s="26">
        <v>0</v>
      </c>
      <c r="Q126" s="30">
        <v>0</v>
      </c>
      <c r="R126" s="31">
        <f t="shared" si="31"/>
        <v>0</v>
      </c>
      <c r="S126" s="206">
        <v>0</v>
      </c>
      <c r="T126" s="168">
        <f>S126/F126*100</f>
        <v>0</v>
      </c>
      <c r="U126" s="27" t="e">
        <f t="shared" si="39"/>
        <v>#DIV/0!</v>
      </c>
      <c r="V126" s="26">
        <v>36</v>
      </c>
      <c r="W126" s="32">
        <f t="shared" si="32"/>
        <v>17.391304347826086</v>
      </c>
    </row>
    <row r="127" spans="1:23" ht="9.75" customHeight="1">
      <c r="A127" s="298"/>
      <c r="B127" s="42" t="s">
        <v>97</v>
      </c>
      <c r="C127" s="26">
        <v>12130</v>
      </c>
      <c r="D127" s="26">
        <v>7545</v>
      </c>
      <c r="E127" s="121">
        <f t="shared" si="34"/>
        <v>62.20115416323166</v>
      </c>
      <c r="F127" s="107">
        <v>4028</v>
      </c>
      <c r="G127" s="27">
        <f t="shared" si="28"/>
        <v>53.38634857521537</v>
      </c>
      <c r="H127" s="26">
        <f t="shared" si="35"/>
        <v>67</v>
      </c>
      <c r="I127" s="29">
        <f t="shared" si="36"/>
        <v>1.663356504468719</v>
      </c>
      <c r="J127" s="26">
        <f t="shared" si="37"/>
        <v>53</v>
      </c>
      <c r="K127" s="29">
        <f t="shared" si="29"/>
        <v>79.1044776119403</v>
      </c>
      <c r="L127" s="26">
        <v>22</v>
      </c>
      <c r="M127" s="26">
        <v>1</v>
      </c>
      <c r="N127" s="26">
        <v>2</v>
      </c>
      <c r="O127" s="26">
        <v>28</v>
      </c>
      <c r="P127" s="26">
        <v>6</v>
      </c>
      <c r="Q127" s="30">
        <v>8</v>
      </c>
      <c r="R127" s="31">
        <f t="shared" si="31"/>
        <v>0.024826216484607744</v>
      </c>
      <c r="S127" s="206">
        <v>0</v>
      </c>
      <c r="T127" s="168">
        <f>S127/F127*100</f>
        <v>0</v>
      </c>
      <c r="U127" s="27">
        <f t="shared" si="39"/>
        <v>1.8867924528301887</v>
      </c>
      <c r="V127" s="26">
        <v>669</v>
      </c>
      <c r="W127" s="32">
        <f t="shared" si="32"/>
        <v>16.608738828202583</v>
      </c>
    </row>
    <row r="128" spans="1:23" ht="9.75" customHeight="1">
      <c r="A128" s="298"/>
      <c r="B128" s="41" t="s">
        <v>98</v>
      </c>
      <c r="C128" s="260"/>
      <c r="D128" s="260"/>
      <c r="E128" s="265"/>
      <c r="F128" s="108">
        <v>10</v>
      </c>
      <c r="G128" s="271"/>
      <c r="H128" s="105">
        <f t="shared" si="35"/>
        <v>0</v>
      </c>
      <c r="I128" s="106">
        <f t="shared" si="36"/>
        <v>0</v>
      </c>
      <c r="J128" s="105">
        <f t="shared" si="37"/>
        <v>0</v>
      </c>
      <c r="K128" s="106" t="e">
        <f t="shared" si="29"/>
        <v>#DIV/0!</v>
      </c>
      <c r="L128" s="105">
        <v>0</v>
      </c>
      <c r="M128" s="105">
        <v>0</v>
      </c>
      <c r="N128" s="105">
        <v>0</v>
      </c>
      <c r="O128" s="105">
        <v>0</v>
      </c>
      <c r="P128" s="105">
        <v>0</v>
      </c>
      <c r="Q128" s="115">
        <v>0</v>
      </c>
      <c r="R128" s="116">
        <f t="shared" si="31"/>
        <v>0</v>
      </c>
      <c r="S128" s="207">
        <v>0</v>
      </c>
      <c r="T128" s="208">
        <f>S128/F128*100</f>
        <v>0</v>
      </c>
      <c r="U128" s="104" t="e">
        <f t="shared" si="39"/>
        <v>#DIV/0!</v>
      </c>
      <c r="V128" s="105">
        <v>3</v>
      </c>
      <c r="W128" s="117">
        <f t="shared" si="32"/>
        <v>30</v>
      </c>
    </row>
    <row r="129" spans="1:23" ht="9.75" customHeight="1">
      <c r="A129" s="298"/>
      <c r="B129" s="209" t="s">
        <v>111</v>
      </c>
      <c r="C129" s="210">
        <f>SUM(C125,C127)</f>
        <v>22595</v>
      </c>
      <c r="D129" s="210">
        <f>SUM(D125,D127)</f>
        <v>12082</v>
      </c>
      <c r="E129" s="211">
        <f t="shared" si="34"/>
        <v>53.47200708121266</v>
      </c>
      <c r="F129" s="210">
        <f>SUM(F125,F127)</f>
        <v>6302</v>
      </c>
      <c r="G129" s="212">
        <f t="shared" si="28"/>
        <v>52.16023837113061</v>
      </c>
      <c r="H129" s="210">
        <f t="shared" si="35"/>
        <v>125</v>
      </c>
      <c r="I129" s="56">
        <f t="shared" si="36"/>
        <v>1.9834973024436688</v>
      </c>
      <c r="J129" s="210">
        <f t="shared" si="37"/>
        <v>101</v>
      </c>
      <c r="K129" s="56">
        <f t="shared" si="29"/>
        <v>80.80000000000001</v>
      </c>
      <c r="L129" s="210">
        <f aca="true" t="shared" si="49" ref="L129:Q130">SUM(L125,L127)</f>
        <v>44</v>
      </c>
      <c r="M129" s="210">
        <f t="shared" si="49"/>
        <v>1</v>
      </c>
      <c r="N129" s="210">
        <f t="shared" si="49"/>
        <v>3</v>
      </c>
      <c r="O129" s="210">
        <f t="shared" si="49"/>
        <v>53</v>
      </c>
      <c r="P129" s="210">
        <f t="shared" si="49"/>
        <v>13</v>
      </c>
      <c r="Q129" s="213">
        <f t="shared" si="49"/>
        <v>11</v>
      </c>
      <c r="R129" s="214">
        <f t="shared" si="31"/>
        <v>0.015867978419549348</v>
      </c>
      <c r="S129" s="210">
        <f>SUM(S125,S127)</f>
        <v>0</v>
      </c>
      <c r="T129" s="216">
        <f>S129/F129*100</f>
        <v>0</v>
      </c>
      <c r="U129" s="212">
        <f t="shared" si="39"/>
        <v>0.9900990099009901</v>
      </c>
      <c r="V129" s="210">
        <f>SUM(V125,V127)</f>
        <v>1062</v>
      </c>
      <c r="W129" s="227">
        <f t="shared" si="32"/>
        <v>16.851793081561407</v>
      </c>
    </row>
    <row r="130" spans="1:23" ht="9.75" customHeight="1">
      <c r="A130" s="298"/>
      <c r="B130" s="217" t="s">
        <v>112</v>
      </c>
      <c r="C130" s="266"/>
      <c r="D130" s="266"/>
      <c r="E130" s="268"/>
      <c r="F130" s="218">
        <f>SUM(F126,F128)</f>
        <v>217</v>
      </c>
      <c r="G130" s="273"/>
      <c r="H130" s="218">
        <f t="shared" si="35"/>
        <v>0</v>
      </c>
      <c r="I130" s="220">
        <f t="shared" si="36"/>
        <v>0</v>
      </c>
      <c r="J130" s="218">
        <f t="shared" si="37"/>
        <v>0</v>
      </c>
      <c r="K130" s="220" t="e">
        <f t="shared" si="29"/>
        <v>#DIV/0!</v>
      </c>
      <c r="L130" s="218">
        <f t="shared" si="49"/>
        <v>0</v>
      </c>
      <c r="M130" s="218">
        <f t="shared" si="49"/>
        <v>0</v>
      </c>
      <c r="N130" s="218">
        <f t="shared" si="49"/>
        <v>0</v>
      </c>
      <c r="O130" s="218">
        <f t="shared" si="49"/>
        <v>0</v>
      </c>
      <c r="P130" s="218">
        <f t="shared" si="49"/>
        <v>0</v>
      </c>
      <c r="Q130" s="221">
        <f t="shared" si="49"/>
        <v>0</v>
      </c>
      <c r="R130" s="222">
        <f t="shared" si="31"/>
        <v>0</v>
      </c>
      <c r="S130" s="218">
        <f>SUM(S126,S128)</f>
        <v>0</v>
      </c>
      <c r="T130" s="169">
        <f>S130/F130</f>
        <v>0</v>
      </c>
      <c r="U130" s="219" t="e">
        <f t="shared" si="39"/>
        <v>#DIV/0!</v>
      </c>
      <c r="V130" s="218">
        <f>SUM(V126,V128)</f>
        <v>39</v>
      </c>
      <c r="W130" s="338">
        <f t="shared" si="32"/>
        <v>17.972350230414747</v>
      </c>
    </row>
    <row r="131" spans="1:23" ht="9.75" customHeight="1">
      <c r="A131" s="298" t="s">
        <v>21</v>
      </c>
      <c r="B131" s="41" t="s">
        <v>96</v>
      </c>
      <c r="C131" s="111">
        <v>2959</v>
      </c>
      <c r="D131" s="111">
        <v>970</v>
      </c>
      <c r="E131" s="121">
        <f t="shared" si="34"/>
        <v>32.78134504900304</v>
      </c>
      <c r="F131" s="122">
        <v>732</v>
      </c>
      <c r="G131" s="113">
        <f t="shared" si="28"/>
        <v>75.4639175257732</v>
      </c>
      <c r="H131" s="111">
        <f t="shared" si="35"/>
        <v>21</v>
      </c>
      <c r="I131" s="123">
        <f t="shared" si="36"/>
        <v>2.8688524590163933</v>
      </c>
      <c r="J131" s="111">
        <f t="shared" si="37"/>
        <v>20</v>
      </c>
      <c r="K131" s="123">
        <f t="shared" si="29"/>
        <v>95.23809523809523</v>
      </c>
      <c r="L131" s="111">
        <v>3</v>
      </c>
      <c r="M131" s="111">
        <v>0</v>
      </c>
      <c r="N131" s="111">
        <v>0</v>
      </c>
      <c r="O131" s="111">
        <v>17</v>
      </c>
      <c r="P131" s="111">
        <v>0</v>
      </c>
      <c r="Q131" s="124">
        <v>1</v>
      </c>
      <c r="R131" s="112">
        <f t="shared" si="31"/>
        <v>0</v>
      </c>
      <c r="S131" s="205">
        <v>0</v>
      </c>
      <c r="T131" s="112">
        <f>S131/F131*100</f>
        <v>0</v>
      </c>
      <c r="U131" s="113">
        <f t="shared" si="39"/>
        <v>0</v>
      </c>
      <c r="V131" s="111">
        <v>5</v>
      </c>
      <c r="W131" s="114">
        <f t="shared" si="32"/>
        <v>0.6830601092896175</v>
      </c>
    </row>
    <row r="132" spans="1:23" ht="9.75" customHeight="1">
      <c r="A132" s="298"/>
      <c r="B132" s="42" t="s">
        <v>99</v>
      </c>
      <c r="C132" s="258"/>
      <c r="D132" s="258"/>
      <c r="E132" s="264"/>
      <c r="F132" s="107">
        <v>47</v>
      </c>
      <c r="G132" s="270"/>
      <c r="H132" s="26">
        <f t="shared" si="35"/>
        <v>0</v>
      </c>
      <c r="I132" s="29">
        <f t="shared" si="36"/>
        <v>0</v>
      </c>
      <c r="J132" s="26">
        <f t="shared" si="37"/>
        <v>0</v>
      </c>
      <c r="K132" s="29" t="e">
        <f t="shared" si="29"/>
        <v>#DIV/0!</v>
      </c>
      <c r="L132" s="26">
        <v>0</v>
      </c>
      <c r="M132" s="26">
        <v>0</v>
      </c>
      <c r="N132" s="26">
        <v>0</v>
      </c>
      <c r="O132" s="26">
        <v>0</v>
      </c>
      <c r="P132" s="26">
        <v>0</v>
      </c>
      <c r="Q132" s="30">
        <v>0</v>
      </c>
      <c r="R132" s="31">
        <f t="shared" si="31"/>
        <v>0</v>
      </c>
      <c r="S132" s="206">
        <v>0</v>
      </c>
      <c r="T132" s="168">
        <f>S132/F132*100</f>
        <v>0</v>
      </c>
      <c r="U132" s="27" t="e">
        <f t="shared" si="39"/>
        <v>#DIV/0!</v>
      </c>
      <c r="V132" s="26">
        <v>0</v>
      </c>
      <c r="W132" s="32">
        <f t="shared" si="32"/>
        <v>0</v>
      </c>
    </row>
    <row r="133" spans="1:23" ht="9.75" customHeight="1">
      <c r="A133" s="298"/>
      <c r="B133" s="42" t="s">
        <v>97</v>
      </c>
      <c r="C133" s="26">
        <v>3392</v>
      </c>
      <c r="D133" s="26">
        <v>1517</v>
      </c>
      <c r="E133" s="121">
        <f t="shared" si="34"/>
        <v>44.722877358490564</v>
      </c>
      <c r="F133" s="107">
        <v>1234</v>
      </c>
      <c r="G133" s="27">
        <f aca="true" t="shared" si="50" ref="G133:G195">F133/D133*100</f>
        <v>81.34475939353987</v>
      </c>
      <c r="H133" s="26">
        <f t="shared" si="35"/>
        <v>13</v>
      </c>
      <c r="I133" s="29">
        <f t="shared" si="36"/>
        <v>1.053484602917342</v>
      </c>
      <c r="J133" s="26">
        <f t="shared" si="37"/>
        <v>12</v>
      </c>
      <c r="K133" s="29">
        <f aca="true" t="shared" si="51" ref="K133:K196">J133/H133*100</f>
        <v>92.3076923076923</v>
      </c>
      <c r="L133" s="26">
        <v>4</v>
      </c>
      <c r="M133" s="26">
        <v>0</v>
      </c>
      <c r="N133" s="26">
        <v>0</v>
      </c>
      <c r="O133" s="26">
        <v>8</v>
      </c>
      <c r="P133" s="26">
        <v>0</v>
      </c>
      <c r="Q133" s="30">
        <v>1</v>
      </c>
      <c r="R133" s="31">
        <f aca="true" t="shared" si="52" ref="R133:R196">M133/F133*100</f>
        <v>0</v>
      </c>
      <c r="S133" s="206">
        <v>0</v>
      </c>
      <c r="T133" s="168">
        <f>S133/F133*100</f>
        <v>0</v>
      </c>
      <c r="U133" s="27">
        <f t="shared" si="39"/>
        <v>0</v>
      </c>
      <c r="V133" s="26">
        <v>13</v>
      </c>
      <c r="W133" s="32">
        <f aca="true" t="shared" si="53" ref="W133:W196">V133/F133*100</f>
        <v>1.053484602917342</v>
      </c>
    </row>
    <row r="134" spans="1:23" ht="9.75" customHeight="1">
      <c r="A134" s="298"/>
      <c r="B134" s="41" t="s">
        <v>98</v>
      </c>
      <c r="C134" s="260"/>
      <c r="D134" s="260"/>
      <c r="E134" s="265"/>
      <c r="F134" s="108">
        <v>1</v>
      </c>
      <c r="G134" s="271"/>
      <c r="H134" s="105">
        <f t="shared" si="35"/>
        <v>1</v>
      </c>
      <c r="I134" s="106">
        <f t="shared" si="36"/>
        <v>100</v>
      </c>
      <c r="J134" s="105">
        <f t="shared" si="37"/>
        <v>1</v>
      </c>
      <c r="K134" s="106">
        <f t="shared" si="51"/>
        <v>100</v>
      </c>
      <c r="L134" s="105">
        <v>1</v>
      </c>
      <c r="M134" s="105">
        <v>0</v>
      </c>
      <c r="N134" s="105">
        <v>0</v>
      </c>
      <c r="O134" s="105">
        <v>0</v>
      </c>
      <c r="P134" s="105">
        <v>0</v>
      </c>
      <c r="Q134" s="115">
        <v>0</v>
      </c>
      <c r="R134" s="116">
        <f t="shared" si="52"/>
        <v>0</v>
      </c>
      <c r="S134" s="207">
        <v>0</v>
      </c>
      <c r="T134" s="208">
        <f>S134/F134*100</f>
        <v>0</v>
      </c>
      <c r="U134" s="104">
        <f t="shared" si="39"/>
        <v>0</v>
      </c>
      <c r="V134" s="105">
        <v>0</v>
      </c>
      <c r="W134" s="117">
        <f t="shared" si="53"/>
        <v>0</v>
      </c>
    </row>
    <row r="135" spans="1:23" ht="9.75" customHeight="1">
      <c r="A135" s="298"/>
      <c r="B135" s="209" t="s">
        <v>111</v>
      </c>
      <c r="C135" s="210">
        <f>SUM(C131,C133)</f>
        <v>6351</v>
      </c>
      <c r="D135" s="210">
        <f>SUM(D131,D133)</f>
        <v>2487</v>
      </c>
      <c r="E135" s="211">
        <f t="shared" si="34"/>
        <v>39.15918752952291</v>
      </c>
      <c r="F135" s="210">
        <f>SUM(F131,F133)</f>
        <v>1966</v>
      </c>
      <c r="G135" s="212">
        <f t="shared" si="50"/>
        <v>79.05106554081223</v>
      </c>
      <c r="H135" s="210">
        <f t="shared" si="35"/>
        <v>34</v>
      </c>
      <c r="I135" s="56">
        <f t="shared" si="36"/>
        <v>1.7293997965412005</v>
      </c>
      <c r="J135" s="210">
        <f t="shared" si="37"/>
        <v>32</v>
      </c>
      <c r="K135" s="56">
        <f t="shared" si="51"/>
        <v>94.11764705882352</v>
      </c>
      <c r="L135" s="210">
        <f aca="true" t="shared" si="54" ref="L135:Q136">SUM(L131,L133)</f>
        <v>7</v>
      </c>
      <c r="M135" s="210">
        <f t="shared" si="54"/>
        <v>0</v>
      </c>
      <c r="N135" s="210">
        <f t="shared" si="54"/>
        <v>0</v>
      </c>
      <c r="O135" s="210">
        <f t="shared" si="54"/>
        <v>25</v>
      </c>
      <c r="P135" s="210">
        <f t="shared" si="54"/>
        <v>0</v>
      </c>
      <c r="Q135" s="213">
        <f t="shared" si="54"/>
        <v>2</v>
      </c>
      <c r="R135" s="214">
        <f t="shared" si="52"/>
        <v>0</v>
      </c>
      <c r="S135" s="210">
        <f>SUM(S131,S133)</f>
        <v>0</v>
      </c>
      <c r="T135" s="216">
        <f>S135/F135*100</f>
        <v>0</v>
      </c>
      <c r="U135" s="212">
        <f t="shared" si="39"/>
        <v>0</v>
      </c>
      <c r="V135" s="210">
        <f>SUM(V131,V133)</f>
        <v>18</v>
      </c>
      <c r="W135" s="227">
        <f t="shared" si="53"/>
        <v>0.9155645981688708</v>
      </c>
    </row>
    <row r="136" spans="1:23" ht="9.75" customHeight="1">
      <c r="A136" s="298"/>
      <c r="B136" s="217" t="s">
        <v>112</v>
      </c>
      <c r="C136" s="266"/>
      <c r="D136" s="266"/>
      <c r="E136" s="268"/>
      <c r="F136" s="218">
        <f>SUM(F132,F134)</f>
        <v>48</v>
      </c>
      <c r="G136" s="273"/>
      <c r="H136" s="218">
        <f t="shared" si="35"/>
        <v>1</v>
      </c>
      <c r="I136" s="220">
        <f t="shared" si="36"/>
        <v>2.083333333333333</v>
      </c>
      <c r="J136" s="218">
        <f t="shared" si="37"/>
        <v>1</v>
      </c>
      <c r="K136" s="220">
        <f t="shared" si="51"/>
        <v>100</v>
      </c>
      <c r="L136" s="218">
        <f t="shared" si="54"/>
        <v>1</v>
      </c>
      <c r="M136" s="218">
        <f t="shared" si="54"/>
        <v>0</v>
      </c>
      <c r="N136" s="218">
        <f t="shared" si="54"/>
        <v>0</v>
      </c>
      <c r="O136" s="218">
        <f t="shared" si="54"/>
        <v>0</v>
      </c>
      <c r="P136" s="218">
        <f t="shared" si="54"/>
        <v>0</v>
      </c>
      <c r="Q136" s="221">
        <f t="shared" si="54"/>
        <v>0</v>
      </c>
      <c r="R136" s="222">
        <f t="shared" si="52"/>
        <v>0</v>
      </c>
      <c r="S136" s="218">
        <f>SUM(S132,S134)</f>
        <v>0</v>
      </c>
      <c r="T136" s="169">
        <f>S136/F136</f>
        <v>0</v>
      </c>
      <c r="U136" s="219">
        <f t="shared" si="39"/>
        <v>0</v>
      </c>
      <c r="V136" s="218">
        <f>SUM(V132,V134)</f>
        <v>0</v>
      </c>
      <c r="W136" s="338">
        <f t="shared" si="53"/>
        <v>0</v>
      </c>
    </row>
    <row r="137" spans="1:23" ht="9.75" customHeight="1">
      <c r="A137" s="298" t="s">
        <v>22</v>
      </c>
      <c r="B137" s="41" t="s">
        <v>96</v>
      </c>
      <c r="C137" s="111">
        <v>4606</v>
      </c>
      <c r="D137" s="111">
        <v>890</v>
      </c>
      <c r="E137" s="121">
        <f t="shared" si="34"/>
        <v>19.32262266608771</v>
      </c>
      <c r="F137" s="122">
        <v>711</v>
      </c>
      <c r="G137" s="113">
        <f t="shared" si="50"/>
        <v>79.88764044943821</v>
      </c>
      <c r="H137" s="111">
        <f t="shared" si="35"/>
        <v>40</v>
      </c>
      <c r="I137" s="123">
        <f t="shared" si="36"/>
        <v>5.625879043600563</v>
      </c>
      <c r="J137" s="111">
        <f t="shared" si="37"/>
        <v>26</v>
      </c>
      <c r="K137" s="123">
        <f t="shared" si="51"/>
        <v>65</v>
      </c>
      <c r="L137" s="111">
        <v>3</v>
      </c>
      <c r="M137" s="111">
        <v>0</v>
      </c>
      <c r="N137" s="111">
        <v>1</v>
      </c>
      <c r="O137" s="111">
        <v>22</v>
      </c>
      <c r="P137" s="111">
        <v>1</v>
      </c>
      <c r="Q137" s="124">
        <v>13</v>
      </c>
      <c r="R137" s="112">
        <f t="shared" si="52"/>
        <v>0</v>
      </c>
      <c r="S137" s="205">
        <v>0</v>
      </c>
      <c r="T137" s="112">
        <f>S137/F137*100</f>
        <v>0</v>
      </c>
      <c r="U137" s="113">
        <f t="shared" si="39"/>
        <v>0</v>
      </c>
      <c r="V137" s="111">
        <v>231</v>
      </c>
      <c r="W137" s="114">
        <f t="shared" si="53"/>
        <v>32.48945147679325</v>
      </c>
    </row>
    <row r="138" spans="1:23" ht="9.75" customHeight="1">
      <c r="A138" s="298"/>
      <c r="B138" s="42" t="s">
        <v>99</v>
      </c>
      <c r="C138" s="258"/>
      <c r="D138" s="258"/>
      <c r="E138" s="264"/>
      <c r="F138" s="107">
        <v>16</v>
      </c>
      <c r="G138" s="270"/>
      <c r="H138" s="26">
        <f t="shared" si="35"/>
        <v>0</v>
      </c>
      <c r="I138" s="29">
        <f t="shared" si="36"/>
        <v>0</v>
      </c>
      <c r="J138" s="26">
        <f t="shared" si="37"/>
        <v>0</v>
      </c>
      <c r="K138" s="29" t="e">
        <f t="shared" si="51"/>
        <v>#DIV/0!</v>
      </c>
      <c r="L138" s="26">
        <v>0</v>
      </c>
      <c r="M138" s="26">
        <v>0</v>
      </c>
      <c r="N138" s="26">
        <v>0</v>
      </c>
      <c r="O138" s="26">
        <v>0</v>
      </c>
      <c r="P138" s="26">
        <v>0</v>
      </c>
      <c r="Q138" s="30">
        <v>0</v>
      </c>
      <c r="R138" s="31">
        <f t="shared" si="52"/>
        <v>0</v>
      </c>
      <c r="S138" s="206">
        <v>0</v>
      </c>
      <c r="T138" s="168">
        <f>S138/F138*100</f>
        <v>0</v>
      </c>
      <c r="U138" s="27" t="e">
        <f t="shared" si="39"/>
        <v>#DIV/0!</v>
      </c>
      <c r="V138" s="26">
        <v>7</v>
      </c>
      <c r="W138" s="32">
        <f t="shared" si="53"/>
        <v>43.75</v>
      </c>
    </row>
    <row r="139" spans="1:23" ht="9.75" customHeight="1">
      <c r="A139" s="298"/>
      <c r="B139" s="42" t="s">
        <v>97</v>
      </c>
      <c r="C139" s="26">
        <v>5550</v>
      </c>
      <c r="D139" s="26">
        <v>2312</v>
      </c>
      <c r="E139" s="121">
        <f t="shared" si="34"/>
        <v>41.65765765765766</v>
      </c>
      <c r="F139" s="107">
        <v>1169</v>
      </c>
      <c r="G139" s="27">
        <f t="shared" si="50"/>
        <v>50.56228373702422</v>
      </c>
      <c r="H139" s="26">
        <f t="shared" si="35"/>
        <v>45</v>
      </c>
      <c r="I139" s="29">
        <f t="shared" si="36"/>
        <v>3.849443969204448</v>
      </c>
      <c r="J139" s="26">
        <f t="shared" si="37"/>
        <v>33</v>
      </c>
      <c r="K139" s="29">
        <f t="shared" si="51"/>
        <v>73.33333333333333</v>
      </c>
      <c r="L139" s="26">
        <v>9</v>
      </c>
      <c r="M139" s="26">
        <v>0</v>
      </c>
      <c r="N139" s="26">
        <v>0</v>
      </c>
      <c r="O139" s="26">
        <v>24</v>
      </c>
      <c r="P139" s="26">
        <v>0</v>
      </c>
      <c r="Q139" s="30">
        <v>12</v>
      </c>
      <c r="R139" s="31">
        <f t="shared" si="52"/>
        <v>0</v>
      </c>
      <c r="S139" s="206">
        <v>0</v>
      </c>
      <c r="T139" s="168">
        <f>S139/F139*100</f>
        <v>0</v>
      </c>
      <c r="U139" s="27">
        <f t="shared" si="39"/>
        <v>0</v>
      </c>
      <c r="V139" s="26">
        <v>298</v>
      </c>
      <c r="W139" s="32">
        <f t="shared" si="53"/>
        <v>25.491873396065014</v>
      </c>
    </row>
    <row r="140" spans="1:23" ht="9.75" customHeight="1">
      <c r="A140" s="298"/>
      <c r="B140" s="41" t="s">
        <v>98</v>
      </c>
      <c r="C140" s="260"/>
      <c r="D140" s="260"/>
      <c r="E140" s="265"/>
      <c r="F140" s="108">
        <v>2</v>
      </c>
      <c r="G140" s="271"/>
      <c r="H140" s="105">
        <f t="shared" si="35"/>
        <v>0</v>
      </c>
      <c r="I140" s="106">
        <f t="shared" si="36"/>
        <v>0</v>
      </c>
      <c r="J140" s="105">
        <f t="shared" si="37"/>
        <v>0</v>
      </c>
      <c r="K140" s="106" t="e">
        <f t="shared" si="51"/>
        <v>#DIV/0!</v>
      </c>
      <c r="L140" s="105">
        <v>0</v>
      </c>
      <c r="M140" s="105">
        <v>0</v>
      </c>
      <c r="N140" s="105">
        <v>0</v>
      </c>
      <c r="O140" s="105">
        <v>0</v>
      </c>
      <c r="P140" s="105">
        <v>0</v>
      </c>
      <c r="Q140" s="115">
        <v>0</v>
      </c>
      <c r="R140" s="116">
        <f t="shared" si="52"/>
        <v>0</v>
      </c>
      <c r="S140" s="207">
        <v>0</v>
      </c>
      <c r="T140" s="208">
        <f>S140/F140*100</f>
        <v>0</v>
      </c>
      <c r="U140" s="104" t="e">
        <f t="shared" si="39"/>
        <v>#DIV/0!</v>
      </c>
      <c r="V140" s="105">
        <v>0</v>
      </c>
      <c r="W140" s="117">
        <f t="shared" si="53"/>
        <v>0</v>
      </c>
    </row>
    <row r="141" spans="1:23" ht="9.75" customHeight="1">
      <c r="A141" s="299"/>
      <c r="B141" s="209" t="s">
        <v>111</v>
      </c>
      <c r="C141" s="210">
        <f>SUM(C137,C139)</f>
        <v>10156</v>
      </c>
      <c r="D141" s="210">
        <f>SUM(D137,D139)</f>
        <v>3202</v>
      </c>
      <c r="E141" s="211">
        <f t="shared" si="34"/>
        <v>31.52816069318629</v>
      </c>
      <c r="F141" s="210">
        <f>SUM(F137,F139)</f>
        <v>1880</v>
      </c>
      <c r="G141" s="212">
        <f t="shared" si="50"/>
        <v>58.71330418488445</v>
      </c>
      <c r="H141" s="210">
        <f t="shared" si="35"/>
        <v>85</v>
      </c>
      <c r="I141" s="56">
        <f t="shared" si="36"/>
        <v>4.521276595744681</v>
      </c>
      <c r="J141" s="210">
        <f t="shared" si="37"/>
        <v>59</v>
      </c>
      <c r="K141" s="56">
        <f t="shared" si="51"/>
        <v>69.41176470588235</v>
      </c>
      <c r="L141" s="210">
        <f aca="true" t="shared" si="55" ref="L141:Q142">SUM(L137,L139)</f>
        <v>12</v>
      </c>
      <c r="M141" s="210">
        <f t="shared" si="55"/>
        <v>0</v>
      </c>
      <c r="N141" s="210">
        <f t="shared" si="55"/>
        <v>1</v>
      </c>
      <c r="O141" s="210">
        <f t="shared" si="55"/>
        <v>46</v>
      </c>
      <c r="P141" s="210">
        <f t="shared" si="55"/>
        <v>1</v>
      </c>
      <c r="Q141" s="213">
        <f t="shared" si="55"/>
        <v>25</v>
      </c>
      <c r="R141" s="214">
        <f t="shared" si="52"/>
        <v>0</v>
      </c>
      <c r="S141" s="210">
        <f>SUM(S137,S139)</f>
        <v>0</v>
      </c>
      <c r="T141" s="216">
        <f>S141/F141*100</f>
        <v>0</v>
      </c>
      <c r="U141" s="212">
        <f t="shared" si="39"/>
        <v>0</v>
      </c>
      <c r="V141" s="210">
        <f>SUM(V137,V139)</f>
        <v>529</v>
      </c>
      <c r="W141" s="227">
        <f t="shared" si="53"/>
        <v>28.138297872340424</v>
      </c>
    </row>
    <row r="142" spans="1:23" ht="9.75" customHeight="1" thickBot="1">
      <c r="A142" s="299"/>
      <c r="B142" s="231" t="s">
        <v>112</v>
      </c>
      <c r="C142" s="262"/>
      <c r="D142" s="262"/>
      <c r="E142" s="263"/>
      <c r="F142" s="232">
        <f>SUM(F138,F140)</f>
        <v>18</v>
      </c>
      <c r="G142" s="272"/>
      <c r="H142" s="232">
        <f t="shared" si="35"/>
        <v>0</v>
      </c>
      <c r="I142" s="93">
        <f t="shared" si="36"/>
        <v>0</v>
      </c>
      <c r="J142" s="232">
        <f t="shared" si="37"/>
        <v>0</v>
      </c>
      <c r="K142" s="93" t="e">
        <f t="shared" si="51"/>
        <v>#DIV/0!</v>
      </c>
      <c r="L142" s="232">
        <f t="shared" si="55"/>
        <v>0</v>
      </c>
      <c r="M142" s="232">
        <f t="shared" si="55"/>
        <v>0</v>
      </c>
      <c r="N142" s="232">
        <f t="shared" si="55"/>
        <v>0</v>
      </c>
      <c r="O142" s="232">
        <f t="shared" si="55"/>
        <v>0</v>
      </c>
      <c r="P142" s="232">
        <f t="shared" si="55"/>
        <v>0</v>
      </c>
      <c r="Q142" s="234">
        <f t="shared" si="55"/>
        <v>0</v>
      </c>
      <c r="R142" s="235">
        <f t="shared" si="52"/>
        <v>0</v>
      </c>
      <c r="S142" s="232">
        <f>SUM(S138,S140)</f>
        <v>0</v>
      </c>
      <c r="T142" s="236">
        <f>S142/F142</f>
        <v>0</v>
      </c>
      <c r="U142" s="233" t="e">
        <f t="shared" si="39"/>
        <v>#DIV/0!</v>
      </c>
      <c r="V142" s="232">
        <f>SUM(V138,V140)</f>
        <v>7</v>
      </c>
      <c r="W142" s="339">
        <f t="shared" si="53"/>
        <v>38.88888888888889</v>
      </c>
    </row>
    <row r="143" spans="1:23" ht="9.75" customHeight="1">
      <c r="A143" s="300" t="s">
        <v>36</v>
      </c>
      <c r="B143" s="118" t="s">
        <v>96</v>
      </c>
      <c r="C143" s="125">
        <f>SUM(C113,C119,C125,C131,C137)</f>
        <v>46706</v>
      </c>
      <c r="D143" s="125">
        <f>SUM(D113,D119,D125,D131,D137)</f>
        <v>18697</v>
      </c>
      <c r="E143" s="126">
        <f t="shared" si="34"/>
        <v>40.03125936710487</v>
      </c>
      <c r="F143" s="125">
        <f>SUM(F113,F119,F125,F131,F137)</f>
        <v>8095</v>
      </c>
      <c r="G143" s="127">
        <f t="shared" si="50"/>
        <v>43.295715890249774</v>
      </c>
      <c r="H143" s="125">
        <f t="shared" si="35"/>
        <v>267</v>
      </c>
      <c r="I143" s="128">
        <f t="shared" si="36"/>
        <v>3.298332303891291</v>
      </c>
      <c r="J143" s="125">
        <f t="shared" si="37"/>
        <v>149</v>
      </c>
      <c r="K143" s="128">
        <f t="shared" si="51"/>
        <v>55.80524344569289</v>
      </c>
      <c r="L143" s="125">
        <f aca="true" t="shared" si="56" ref="L143:Q146">SUM(L113,L119,L125,L131,L137)</f>
        <v>40</v>
      </c>
      <c r="M143" s="125">
        <f t="shared" si="56"/>
        <v>2</v>
      </c>
      <c r="N143" s="125">
        <f t="shared" si="56"/>
        <v>2</v>
      </c>
      <c r="O143" s="125">
        <f t="shared" si="56"/>
        <v>105</v>
      </c>
      <c r="P143" s="125">
        <f t="shared" si="56"/>
        <v>11</v>
      </c>
      <c r="Q143" s="129">
        <f t="shared" si="56"/>
        <v>107</v>
      </c>
      <c r="R143" s="130">
        <f t="shared" si="52"/>
        <v>0.02470660901791229</v>
      </c>
      <c r="S143" s="125">
        <f>SUM(S113,S119,S125,S131,S137)</f>
        <v>0</v>
      </c>
      <c r="T143" s="130">
        <f>S143/F143*100</f>
        <v>0</v>
      </c>
      <c r="U143" s="127">
        <f t="shared" si="39"/>
        <v>1.342281879194631</v>
      </c>
      <c r="V143" s="125">
        <f>SUM(V113,V119,V125,V131,V137)</f>
        <v>1375</v>
      </c>
      <c r="W143" s="131">
        <f t="shared" si="53"/>
        <v>16.9857936998147</v>
      </c>
    </row>
    <row r="144" spans="1:23" ht="9.75" customHeight="1">
      <c r="A144" s="301"/>
      <c r="B144" s="119" t="s">
        <v>99</v>
      </c>
      <c r="C144" s="258"/>
      <c r="D144" s="258"/>
      <c r="E144" s="264"/>
      <c r="F144" s="20">
        <f>SUM(F114,F120,F126,F132,F138)</f>
        <v>587</v>
      </c>
      <c r="G144" s="270"/>
      <c r="H144" s="20">
        <f t="shared" si="35"/>
        <v>2</v>
      </c>
      <c r="I144" s="22">
        <f t="shared" si="36"/>
        <v>0.34071550255536626</v>
      </c>
      <c r="J144" s="20">
        <f t="shared" si="37"/>
        <v>0</v>
      </c>
      <c r="K144" s="22">
        <f t="shared" si="51"/>
        <v>0</v>
      </c>
      <c r="L144" s="20">
        <f t="shared" si="56"/>
        <v>0</v>
      </c>
      <c r="M144" s="20">
        <f t="shared" si="56"/>
        <v>0</v>
      </c>
      <c r="N144" s="20">
        <f t="shared" si="56"/>
        <v>0</v>
      </c>
      <c r="O144" s="20">
        <f t="shared" si="56"/>
        <v>0</v>
      </c>
      <c r="P144" s="20">
        <f t="shared" si="56"/>
        <v>0</v>
      </c>
      <c r="Q144" s="23">
        <f t="shared" si="56"/>
        <v>2</v>
      </c>
      <c r="R144" s="24">
        <f t="shared" si="52"/>
        <v>0</v>
      </c>
      <c r="S144" s="20">
        <f>SUM(S114,S120,S126,S132,S138)</f>
        <v>0</v>
      </c>
      <c r="T144" s="166">
        <f>S144/F144*100</f>
        <v>0</v>
      </c>
      <c r="U144" s="21" t="e">
        <f t="shared" si="39"/>
        <v>#DIV/0!</v>
      </c>
      <c r="V144" s="20">
        <f>SUM(V114,V120,V126,V132,V138)</f>
        <v>91</v>
      </c>
      <c r="W144" s="25">
        <f t="shared" si="53"/>
        <v>15.502555366269167</v>
      </c>
    </row>
    <row r="145" spans="1:23" ht="9.75" customHeight="1">
      <c r="A145" s="301"/>
      <c r="B145" s="119" t="s">
        <v>97</v>
      </c>
      <c r="C145" s="20">
        <f>SUM(C115,C121,C127,C133,C139)</f>
        <v>55116</v>
      </c>
      <c r="D145" s="20">
        <f>SUM(D115,D121,D127,D133,D139)</f>
        <v>30107</v>
      </c>
      <c r="E145" s="237">
        <f>D145/C145*100</f>
        <v>54.62479134915451</v>
      </c>
      <c r="F145" s="20">
        <f>SUM(F115,F121,F127,F133,F139)</f>
        <v>14901</v>
      </c>
      <c r="G145" s="21">
        <f t="shared" si="50"/>
        <v>49.49347327863952</v>
      </c>
      <c r="H145" s="20">
        <f aca="true" t="shared" si="57" ref="H145:H208">SUM(L145:Q145)</f>
        <v>308</v>
      </c>
      <c r="I145" s="22">
        <f aca="true" t="shared" si="58" ref="I145:I208">H145/F145*100</f>
        <v>2.0669753707804843</v>
      </c>
      <c r="J145" s="20">
        <f aca="true" t="shared" si="59" ref="J145:J208">SUM(L145:O145)</f>
        <v>172</v>
      </c>
      <c r="K145" s="22">
        <f t="shared" si="51"/>
        <v>55.84415584415584</v>
      </c>
      <c r="L145" s="20">
        <f t="shared" si="56"/>
        <v>49</v>
      </c>
      <c r="M145" s="20">
        <f t="shared" si="56"/>
        <v>5</v>
      </c>
      <c r="N145" s="20">
        <f t="shared" si="56"/>
        <v>2</v>
      </c>
      <c r="O145" s="20">
        <f t="shared" si="56"/>
        <v>116</v>
      </c>
      <c r="P145" s="20">
        <f t="shared" si="56"/>
        <v>12</v>
      </c>
      <c r="Q145" s="23">
        <f t="shared" si="56"/>
        <v>124</v>
      </c>
      <c r="R145" s="24">
        <f t="shared" si="52"/>
        <v>0.03355479498020267</v>
      </c>
      <c r="S145" s="20">
        <f>SUM(S115,S121,S127,S133,S139)</f>
        <v>0</v>
      </c>
      <c r="T145" s="166">
        <f>S145/F145*100</f>
        <v>0</v>
      </c>
      <c r="U145" s="21">
        <f aca="true" t="shared" si="60" ref="U145:U208">M145/J145*100</f>
        <v>2.9069767441860463</v>
      </c>
      <c r="V145" s="20">
        <f>SUM(V115,V121,V127,V133,V139)</f>
        <v>2303</v>
      </c>
      <c r="W145" s="25">
        <f t="shared" si="53"/>
        <v>15.455338567881348</v>
      </c>
    </row>
    <row r="146" spans="1:23" ht="9.75" customHeight="1">
      <c r="A146" s="301"/>
      <c r="B146" s="223" t="s">
        <v>98</v>
      </c>
      <c r="C146" s="260"/>
      <c r="D146" s="260"/>
      <c r="E146" s="265"/>
      <c r="F146" s="133">
        <f>SUM(F116,F122,F128,F134,F140)</f>
        <v>57</v>
      </c>
      <c r="G146" s="271"/>
      <c r="H146" s="133">
        <f t="shared" si="57"/>
        <v>3</v>
      </c>
      <c r="I146" s="135">
        <f t="shared" si="58"/>
        <v>5.263157894736842</v>
      </c>
      <c r="J146" s="133">
        <f t="shared" si="59"/>
        <v>1</v>
      </c>
      <c r="K146" s="135">
        <f t="shared" si="51"/>
        <v>33.33333333333333</v>
      </c>
      <c r="L146" s="133">
        <f t="shared" si="56"/>
        <v>1</v>
      </c>
      <c r="M146" s="133">
        <f t="shared" si="56"/>
        <v>0</v>
      </c>
      <c r="N146" s="133">
        <f t="shared" si="56"/>
        <v>0</v>
      </c>
      <c r="O146" s="133">
        <f t="shared" si="56"/>
        <v>0</v>
      </c>
      <c r="P146" s="133">
        <f t="shared" si="56"/>
        <v>0</v>
      </c>
      <c r="Q146" s="256">
        <f t="shared" si="56"/>
        <v>2</v>
      </c>
      <c r="R146" s="136">
        <f t="shared" si="52"/>
        <v>0</v>
      </c>
      <c r="S146" s="133">
        <f>SUM(S116,S122,S128,S134,S140)</f>
        <v>0</v>
      </c>
      <c r="T146" s="167">
        <f>S146/F146*100</f>
        <v>0</v>
      </c>
      <c r="U146" s="134">
        <f t="shared" si="60"/>
        <v>0</v>
      </c>
      <c r="V146" s="133">
        <f>SUM(V116,V122,V128,V134,V140)</f>
        <v>13</v>
      </c>
      <c r="W146" s="137">
        <f t="shared" si="53"/>
        <v>22.807017543859647</v>
      </c>
    </row>
    <row r="147" spans="1:23" ht="9.75" customHeight="1">
      <c r="A147" s="302"/>
      <c r="B147" s="228" t="s">
        <v>111</v>
      </c>
      <c r="C147" s="238">
        <f>SUM(C143,C145)</f>
        <v>101822</v>
      </c>
      <c r="D147" s="238">
        <f>SUM(D143,D145)</f>
        <v>48804</v>
      </c>
      <c r="E147" s="253">
        <f>D147/C147*100</f>
        <v>47.93070259865255</v>
      </c>
      <c r="F147" s="238">
        <f>SUM(F143,F145)</f>
        <v>22996</v>
      </c>
      <c r="G147" s="239">
        <f t="shared" si="50"/>
        <v>47.11908859929514</v>
      </c>
      <c r="H147" s="238">
        <f t="shared" si="57"/>
        <v>575</v>
      </c>
      <c r="I147" s="240">
        <f t="shared" si="58"/>
        <v>2.5004348582362153</v>
      </c>
      <c r="J147" s="238">
        <f t="shared" si="59"/>
        <v>321</v>
      </c>
      <c r="K147" s="240">
        <f t="shared" si="51"/>
        <v>55.826086956521735</v>
      </c>
      <c r="L147" s="238">
        <f aca="true" t="shared" si="61" ref="L147:Q148">SUM(L143,L145)</f>
        <v>89</v>
      </c>
      <c r="M147" s="238">
        <f t="shared" si="61"/>
        <v>7</v>
      </c>
      <c r="N147" s="238">
        <f t="shared" si="61"/>
        <v>4</v>
      </c>
      <c r="O147" s="238">
        <f t="shared" si="61"/>
        <v>221</v>
      </c>
      <c r="P147" s="238">
        <f t="shared" si="61"/>
        <v>23</v>
      </c>
      <c r="Q147" s="241">
        <f t="shared" si="61"/>
        <v>231</v>
      </c>
      <c r="R147" s="242">
        <f t="shared" si="52"/>
        <v>0.030440076535049574</v>
      </c>
      <c r="S147" s="238">
        <f>SUM(S143,S145)</f>
        <v>0</v>
      </c>
      <c r="T147" s="243">
        <f>S147/F147*100</f>
        <v>0</v>
      </c>
      <c r="U147" s="239">
        <f t="shared" si="60"/>
        <v>2.1806853582554515</v>
      </c>
      <c r="V147" s="238">
        <f>SUM(V143,V145)</f>
        <v>3678</v>
      </c>
      <c r="W147" s="244">
        <f t="shared" si="53"/>
        <v>15.994085927987475</v>
      </c>
    </row>
    <row r="148" spans="1:23" ht="9.75" customHeight="1" thickBot="1">
      <c r="A148" s="303"/>
      <c r="B148" s="229" t="s">
        <v>112</v>
      </c>
      <c r="C148" s="262"/>
      <c r="D148" s="262"/>
      <c r="E148" s="263"/>
      <c r="F148" s="245">
        <f>SUM(F144,F146)</f>
        <v>644</v>
      </c>
      <c r="G148" s="272"/>
      <c r="H148" s="245">
        <f t="shared" si="57"/>
        <v>5</v>
      </c>
      <c r="I148" s="247">
        <f t="shared" si="58"/>
        <v>0.7763975155279503</v>
      </c>
      <c r="J148" s="245">
        <f t="shared" si="59"/>
        <v>1</v>
      </c>
      <c r="K148" s="247">
        <f t="shared" si="51"/>
        <v>20</v>
      </c>
      <c r="L148" s="245">
        <f t="shared" si="61"/>
        <v>1</v>
      </c>
      <c r="M148" s="245">
        <f t="shared" si="61"/>
        <v>0</v>
      </c>
      <c r="N148" s="245">
        <f t="shared" si="61"/>
        <v>0</v>
      </c>
      <c r="O148" s="245">
        <f t="shared" si="61"/>
        <v>0</v>
      </c>
      <c r="P148" s="245">
        <f t="shared" si="61"/>
        <v>0</v>
      </c>
      <c r="Q148" s="248">
        <f t="shared" si="61"/>
        <v>4</v>
      </c>
      <c r="R148" s="249">
        <f t="shared" si="52"/>
        <v>0</v>
      </c>
      <c r="S148" s="245">
        <f>SUM(S144,S146)</f>
        <v>0</v>
      </c>
      <c r="T148" s="250">
        <f>S148/F148</f>
        <v>0</v>
      </c>
      <c r="U148" s="246">
        <f t="shared" si="60"/>
        <v>0</v>
      </c>
      <c r="V148" s="245">
        <f>SUM(V144,V146)</f>
        <v>104</v>
      </c>
      <c r="W148" s="251">
        <f t="shared" si="53"/>
        <v>16.149068322981368</v>
      </c>
    </row>
    <row r="149" spans="1:23" ht="9.75" customHeight="1">
      <c r="A149" s="290" t="s">
        <v>92</v>
      </c>
      <c r="B149" s="41" t="s">
        <v>96</v>
      </c>
      <c r="C149" s="111">
        <v>10532</v>
      </c>
      <c r="D149" s="111">
        <v>4627</v>
      </c>
      <c r="E149" s="121">
        <f>D149/C149*100</f>
        <v>43.93277630079757</v>
      </c>
      <c r="F149" s="122">
        <v>1640</v>
      </c>
      <c r="G149" s="113">
        <f t="shared" si="50"/>
        <v>35.44413226712773</v>
      </c>
      <c r="H149" s="111">
        <f t="shared" si="57"/>
        <v>61</v>
      </c>
      <c r="I149" s="123">
        <f t="shared" si="58"/>
        <v>3.719512195121951</v>
      </c>
      <c r="J149" s="111">
        <f t="shared" si="59"/>
        <v>46</v>
      </c>
      <c r="K149" s="123">
        <f t="shared" si="51"/>
        <v>75.40983606557377</v>
      </c>
      <c r="L149" s="111">
        <v>9</v>
      </c>
      <c r="M149" s="111">
        <v>1</v>
      </c>
      <c r="N149" s="111">
        <v>2</v>
      </c>
      <c r="O149" s="111">
        <v>34</v>
      </c>
      <c r="P149" s="111">
        <v>1</v>
      </c>
      <c r="Q149" s="124">
        <v>14</v>
      </c>
      <c r="R149" s="112">
        <f t="shared" si="52"/>
        <v>0.06097560975609756</v>
      </c>
      <c r="S149" s="205">
        <v>1</v>
      </c>
      <c r="T149" s="112">
        <f>S149/F149*100</f>
        <v>0.06097560975609756</v>
      </c>
      <c r="U149" s="113">
        <f t="shared" si="60"/>
        <v>2.1739130434782608</v>
      </c>
      <c r="V149" s="111">
        <v>201</v>
      </c>
      <c r="W149" s="114">
        <f t="shared" si="53"/>
        <v>12.25609756097561</v>
      </c>
    </row>
    <row r="150" spans="1:23" ht="9.75" customHeight="1">
      <c r="A150" s="291"/>
      <c r="B150" s="42" t="s">
        <v>99</v>
      </c>
      <c r="C150" s="258"/>
      <c r="D150" s="258"/>
      <c r="E150" s="264"/>
      <c r="F150" s="107">
        <v>248</v>
      </c>
      <c r="G150" s="270"/>
      <c r="H150" s="26">
        <f t="shared" si="57"/>
        <v>0</v>
      </c>
      <c r="I150" s="29">
        <f t="shared" si="58"/>
        <v>0</v>
      </c>
      <c r="J150" s="26">
        <f t="shared" si="59"/>
        <v>0</v>
      </c>
      <c r="K150" s="29" t="e">
        <f t="shared" si="51"/>
        <v>#DIV/0!</v>
      </c>
      <c r="L150" s="26">
        <v>0</v>
      </c>
      <c r="M150" s="26">
        <v>0</v>
      </c>
      <c r="N150" s="26">
        <v>0</v>
      </c>
      <c r="O150" s="26">
        <v>0</v>
      </c>
      <c r="P150" s="26">
        <v>0</v>
      </c>
      <c r="Q150" s="30">
        <v>0</v>
      </c>
      <c r="R150" s="31">
        <f t="shared" si="52"/>
        <v>0</v>
      </c>
      <c r="S150" s="206">
        <v>0</v>
      </c>
      <c r="T150" s="168">
        <f>S150/F150*100</f>
        <v>0</v>
      </c>
      <c r="U150" s="27" t="e">
        <f t="shared" si="60"/>
        <v>#DIV/0!</v>
      </c>
      <c r="V150" s="26">
        <v>117</v>
      </c>
      <c r="W150" s="32">
        <f t="shared" si="53"/>
        <v>47.17741935483871</v>
      </c>
    </row>
    <row r="151" spans="1:23" ht="9.75" customHeight="1">
      <c r="A151" s="291"/>
      <c r="B151" s="42" t="s">
        <v>97</v>
      </c>
      <c r="C151" s="26">
        <v>12838</v>
      </c>
      <c r="D151" s="26">
        <v>7245</v>
      </c>
      <c r="E151" s="121">
        <f>D151/C151*100</f>
        <v>56.43402399127589</v>
      </c>
      <c r="F151" s="107">
        <v>2997</v>
      </c>
      <c r="G151" s="27">
        <f t="shared" si="50"/>
        <v>41.36645962732919</v>
      </c>
      <c r="H151" s="26">
        <f t="shared" si="57"/>
        <v>87</v>
      </c>
      <c r="I151" s="29">
        <f t="shared" si="58"/>
        <v>2.902902902902903</v>
      </c>
      <c r="J151" s="26">
        <f t="shared" si="59"/>
        <v>68</v>
      </c>
      <c r="K151" s="29">
        <f t="shared" si="51"/>
        <v>78.16091954022988</v>
      </c>
      <c r="L151" s="26">
        <v>27</v>
      </c>
      <c r="M151" s="26">
        <v>1</v>
      </c>
      <c r="N151" s="26">
        <v>4</v>
      </c>
      <c r="O151" s="26">
        <v>36</v>
      </c>
      <c r="P151" s="26">
        <v>2</v>
      </c>
      <c r="Q151" s="30">
        <v>17</v>
      </c>
      <c r="R151" s="31">
        <f t="shared" si="52"/>
        <v>0.033366700033366704</v>
      </c>
      <c r="S151" s="206">
        <v>0</v>
      </c>
      <c r="T151" s="168">
        <f>S151/F151*100</f>
        <v>0</v>
      </c>
      <c r="U151" s="27">
        <f t="shared" si="60"/>
        <v>1.4705882352941175</v>
      </c>
      <c r="V151" s="26">
        <v>310</v>
      </c>
      <c r="W151" s="32">
        <f t="shared" si="53"/>
        <v>10.343677010343677</v>
      </c>
    </row>
    <row r="152" spans="1:23" ht="9.75" customHeight="1">
      <c r="A152" s="291"/>
      <c r="B152" s="41" t="s">
        <v>98</v>
      </c>
      <c r="C152" s="260"/>
      <c r="D152" s="260"/>
      <c r="E152" s="265"/>
      <c r="F152" s="108">
        <v>33</v>
      </c>
      <c r="G152" s="271"/>
      <c r="H152" s="105">
        <f t="shared" si="57"/>
        <v>0</v>
      </c>
      <c r="I152" s="106">
        <f t="shared" si="58"/>
        <v>0</v>
      </c>
      <c r="J152" s="105">
        <f t="shared" si="59"/>
        <v>0</v>
      </c>
      <c r="K152" s="106" t="e">
        <f t="shared" si="51"/>
        <v>#DIV/0!</v>
      </c>
      <c r="L152" s="105">
        <v>0</v>
      </c>
      <c r="M152" s="105">
        <v>0</v>
      </c>
      <c r="N152" s="105">
        <v>0</v>
      </c>
      <c r="O152" s="105">
        <v>0</v>
      </c>
      <c r="P152" s="105">
        <v>0</v>
      </c>
      <c r="Q152" s="115">
        <v>0</v>
      </c>
      <c r="R152" s="116">
        <f t="shared" si="52"/>
        <v>0</v>
      </c>
      <c r="S152" s="207">
        <v>0</v>
      </c>
      <c r="T152" s="208">
        <f>S152/F152*100</f>
        <v>0</v>
      </c>
      <c r="U152" s="104" t="e">
        <f t="shared" si="60"/>
        <v>#DIV/0!</v>
      </c>
      <c r="V152" s="105">
        <v>20</v>
      </c>
      <c r="W152" s="117">
        <f t="shared" si="53"/>
        <v>60.60606060606061</v>
      </c>
    </row>
    <row r="153" spans="1:23" ht="9.75" customHeight="1">
      <c r="A153" s="291"/>
      <c r="B153" s="209" t="s">
        <v>111</v>
      </c>
      <c r="C153" s="210">
        <f>SUM(C149,C151)</f>
        <v>23370</v>
      </c>
      <c r="D153" s="210">
        <f>SUM(D149,D151)</f>
        <v>11872</v>
      </c>
      <c r="E153" s="211">
        <f>D153/C153*100</f>
        <v>50.800171159606336</v>
      </c>
      <c r="F153" s="210">
        <f>SUM(F149,F151)</f>
        <v>4637</v>
      </c>
      <c r="G153" s="212">
        <f t="shared" si="50"/>
        <v>39.05828840970351</v>
      </c>
      <c r="H153" s="210">
        <f t="shared" si="57"/>
        <v>148</v>
      </c>
      <c r="I153" s="56">
        <f t="shared" si="58"/>
        <v>3.191718783696355</v>
      </c>
      <c r="J153" s="210">
        <f t="shared" si="59"/>
        <v>114</v>
      </c>
      <c r="K153" s="56">
        <f t="shared" si="51"/>
        <v>77.02702702702703</v>
      </c>
      <c r="L153" s="210">
        <f aca="true" t="shared" si="62" ref="L153:Q154">SUM(L149,L151)</f>
        <v>36</v>
      </c>
      <c r="M153" s="210">
        <f t="shared" si="62"/>
        <v>2</v>
      </c>
      <c r="N153" s="210">
        <f t="shared" si="62"/>
        <v>6</v>
      </c>
      <c r="O153" s="210">
        <f t="shared" si="62"/>
        <v>70</v>
      </c>
      <c r="P153" s="210">
        <f t="shared" si="62"/>
        <v>3</v>
      </c>
      <c r="Q153" s="213">
        <f t="shared" si="62"/>
        <v>31</v>
      </c>
      <c r="R153" s="214">
        <f t="shared" si="52"/>
        <v>0.04313133491481561</v>
      </c>
      <c r="S153" s="210">
        <f>SUM(S149,S151)</f>
        <v>1</v>
      </c>
      <c r="T153" s="216">
        <f>S153/F153*100</f>
        <v>0.021565667457407806</v>
      </c>
      <c r="U153" s="212">
        <f t="shared" si="60"/>
        <v>1.7543859649122806</v>
      </c>
      <c r="V153" s="210">
        <f>SUM(V149,V151)</f>
        <v>511</v>
      </c>
      <c r="W153" s="227">
        <f t="shared" si="53"/>
        <v>11.02005607073539</v>
      </c>
    </row>
    <row r="154" spans="1:23" ht="9.75" customHeight="1" thickBot="1">
      <c r="A154" s="292"/>
      <c r="B154" s="231" t="s">
        <v>112</v>
      </c>
      <c r="C154" s="262"/>
      <c r="D154" s="262"/>
      <c r="E154" s="263"/>
      <c r="F154" s="232">
        <f>SUM(F150,F152)</f>
        <v>281</v>
      </c>
      <c r="G154" s="272"/>
      <c r="H154" s="232">
        <f t="shared" si="57"/>
        <v>0</v>
      </c>
      <c r="I154" s="93">
        <f t="shared" si="58"/>
        <v>0</v>
      </c>
      <c r="J154" s="232">
        <f t="shared" si="59"/>
        <v>0</v>
      </c>
      <c r="K154" s="93" t="e">
        <f t="shared" si="51"/>
        <v>#DIV/0!</v>
      </c>
      <c r="L154" s="232">
        <f t="shared" si="62"/>
        <v>0</v>
      </c>
      <c r="M154" s="232">
        <f t="shared" si="62"/>
        <v>0</v>
      </c>
      <c r="N154" s="232">
        <f t="shared" si="62"/>
        <v>0</v>
      </c>
      <c r="O154" s="232">
        <f t="shared" si="62"/>
        <v>0</v>
      </c>
      <c r="P154" s="232">
        <f t="shared" si="62"/>
        <v>0</v>
      </c>
      <c r="Q154" s="234">
        <f t="shared" si="62"/>
        <v>0</v>
      </c>
      <c r="R154" s="235">
        <f t="shared" si="52"/>
        <v>0</v>
      </c>
      <c r="S154" s="232">
        <f>SUM(S150,S152)</f>
        <v>0</v>
      </c>
      <c r="T154" s="236">
        <f>S154/F154</f>
        <v>0</v>
      </c>
      <c r="U154" s="233" t="e">
        <f t="shared" si="60"/>
        <v>#DIV/0!</v>
      </c>
      <c r="V154" s="232">
        <f>SUM(V150,V152)</f>
        <v>137</v>
      </c>
      <c r="W154" s="339">
        <f t="shared" si="53"/>
        <v>48.754448398576514</v>
      </c>
    </row>
    <row r="155" spans="1:23" ht="9.75" customHeight="1">
      <c r="A155" s="293" t="s">
        <v>37</v>
      </c>
      <c r="B155" s="118" t="s">
        <v>96</v>
      </c>
      <c r="C155" s="125">
        <f>C149</f>
        <v>10532</v>
      </c>
      <c r="D155" s="125">
        <f aca="true" t="shared" si="63" ref="C155:D157">D149</f>
        <v>4627</v>
      </c>
      <c r="E155" s="126">
        <f>D155/C155*100</f>
        <v>43.93277630079757</v>
      </c>
      <c r="F155" s="125">
        <f>F149</f>
        <v>1640</v>
      </c>
      <c r="G155" s="127">
        <f t="shared" si="50"/>
        <v>35.44413226712773</v>
      </c>
      <c r="H155" s="125">
        <f t="shared" si="57"/>
        <v>61</v>
      </c>
      <c r="I155" s="128">
        <f t="shared" si="58"/>
        <v>3.719512195121951</v>
      </c>
      <c r="J155" s="125">
        <f t="shared" si="59"/>
        <v>46</v>
      </c>
      <c r="K155" s="128">
        <f t="shared" si="51"/>
        <v>75.40983606557377</v>
      </c>
      <c r="L155" s="125">
        <f aca="true" t="shared" si="64" ref="L155:Q156">L149</f>
        <v>9</v>
      </c>
      <c r="M155" s="125">
        <f t="shared" si="64"/>
        <v>1</v>
      </c>
      <c r="N155" s="125">
        <f t="shared" si="64"/>
        <v>2</v>
      </c>
      <c r="O155" s="125">
        <f t="shared" si="64"/>
        <v>34</v>
      </c>
      <c r="P155" s="125">
        <f t="shared" si="64"/>
        <v>1</v>
      </c>
      <c r="Q155" s="129">
        <f t="shared" si="64"/>
        <v>14</v>
      </c>
      <c r="R155" s="130">
        <f t="shared" si="52"/>
        <v>0.06097560975609756</v>
      </c>
      <c r="S155" s="125">
        <f>S149</f>
        <v>1</v>
      </c>
      <c r="T155" s="130">
        <f>S155/F155*100</f>
        <v>0.06097560975609756</v>
      </c>
      <c r="U155" s="127">
        <f t="shared" si="60"/>
        <v>2.1739130434782608</v>
      </c>
      <c r="V155" s="125">
        <f>V149</f>
        <v>201</v>
      </c>
      <c r="W155" s="131">
        <f t="shared" si="53"/>
        <v>12.25609756097561</v>
      </c>
    </row>
    <row r="156" spans="1:23" ht="9.75" customHeight="1">
      <c r="A156" s="294"/>
      <c r="B156" s="119" t="s">
        <v>99</v>
      </c>
      <c r="C156" s="258"/>
      <c r="D156" s="258"/>
      <c r="E156" s="264"/>
      <c r="F156" s="20">
        <f>F150</f>
        <v>248</v>
      </c>
      <c r="G156" s="270"/>
      <c r="H156" s="20">
        <f t="shared" si="57"/>
        <v>0</v>
      </c>
      <c r="I156" s="22">
        <f t="shared" si="58"/>
        <v>0</v>
      </c>
      <c r="J156" s="20">
        <f t="shared" si="59"/>
        <v>0</v>
      </c>
      <c r="K156" s="22" t="e">
        <f t="shared" si="51"/>
        <v>#DIV/0!</v>
      </c>
      <c r="L156" s="20">
        <f t="shared" si="64"/>
        <v>0</v>
      </c>
      <c r="M156" s="20">
        <f t="shared" si="64"/>
        <v>0</v>
      </c>
      <c r="N156" s="20">
        <f t="shared" si="64"/>
        <v>0</v>
      </c>
      <c r="O156" s="20">
        <f t="shared" si="64"/>
        <v>0</v>
      </c>
      <c r="P156" s="20">
        <f t="shared" si="64"/>
        <v>0</v>
      </c>
      <c r="Q156" s="23">
        <f t="shared" si="64"/>
        <v>0</v>
      </c>
      <c r="R156" s="24">
        <f t="shared" si="52"/>
        <v>0</v>
      </c>
      <c r="S156" s="20">
        <f>S150</f>
        <v>0</v>
      </c>
      <c r="T156" s="166">
        <f>S156/F156*100</f>
        <v>0</v>
      </c>
      <c r="U156" s="21" t="e">
        <f t="shared" si="60"/>
        <v>#DIV/0!</v>
      </c>
      <c r="V156" s="20">
        <f>V150</f>
        <v>117</v>
      </c>
      <c r="W156" s="25">
        <f t="shared" si="53"/>
        <v>47.17741935483871</v>
      </c>
    </row>
    <row r="157" spans="1:23" ht="9.75" customHeight="1">
      <c r="A157" s="294"/>
      <c r="B157" s="119" t="s">
        <v>97</v>
      </c>
      <c r="C157" s="20">
        <f t="shared" si="63"/>
        <v>12838</v>
      </c>
      <c r="D157" s="20">
        <f t="shared" si="63"/>
        <v>7245</v>
      </c>
      <c r="E157" s="237">
        <f>D157/C157*100</f>
        <v>56.43402399127589</v>
      </c>
      <c r="F157" s="20">
        <f>F151</f>
        <v>2997</v>
      </c>
      <c r="G157" s="21">
        <f t="shared" si="50"/>
        <v>41.36645962732919</v>
      </c>
      <c r="H157" s="20">
        <f t="shared" si="57"/>
        <v>87</v>
      </c>
      <c r="I157" s="22">
        <f t="shared" si="58"/>
        <v>2.902902902902903</v>
      </c>
      <c r="J157" s="20">
        <f t="shared" si="59"/>
        <v>68</v>
      </c>
      <c r="K157" s="22">
        <f t="shared" si="51"/>
        <v>78.16091954022988</v>
      </c>
      <c r="L157" s="20">
        <f aca="true" t="shared" si="65" ref="L157:Q157">L151</f>
        <v>27</v>
      </c>
      <c r="M157" s="20">
        <f t="shared" si="65"/>
        <v>1</v>
      </c>
      <c r="N157" s="20">
        <f t="shared" si="65"/>
        <v>4</v>
      </c>
      <c r="O157" s="20">
        <f t="shared" si="65"/>
        <v>36</v>
      </c>
      <c r="P157" s="20">
        <f t="shared" si="65"/>
        <v>2</v>
      </c>
      <c r="Q157" s="23">
        <f t="shared" si="65"/>
        <v>17</v>
      </c>
      <c r="R157" s="24">
        <f t="shared" si="52"/>
        <v>0.033366700033366704</v>
      </c>
      <c r="S157" s="20">
        <f>S151</f>
        <v>0</v>
      </c>
      <c r="T157" s="166">
        <f>S157/F157*100</f>
        <v>0</v>
      </c>
      <c r="U157" s="21">
        <f t="shared" si="60"/>
        <v>1.4705882352941175</v>
      </c>
      <c r="V157" s="20">
        <f>V151</f>
        <v>310</v>
      </c>
      <c r="W157" s="25">
        <f t="shared" si="53"/>
        <v>10.343677010343677</v>
      </c>
    </row>
    <row r="158" spans="1:23" ht="9.75" customHeight="1">
      <c r="A158" s="294"/>
      <c r="B158" s="223" t="s">
        <v>98</v>
      </c>
      <c r="C158" s="260"/>
      <c r="D158" s="260"/>
      <c r="E158" s="265"/>
      <c r="F158" s="133">
        <f>F152</f>
        <v>33</v>
      </c>
      <c r="G158" s="271"/>
      <c r="H158" s="133">
        <f t="shared" si="57"/>
        <v>0</v>
      </c>
      <c r="I158" s="135">
        <f t="shared" si="58"/>
        <v>0</v>
      </c>
      <c r="J158" s="133">
        <f t="shared" si="59"/>
        <v>0</v>
      </c>
      <c r="K158" s="135" t="e">
        <f t="shared" si="51"/>
        <v>#DIV/0!</v>
      </c>
      <c r="L158" s="133">
        <f aca="true" t="shared" si="66" ref="L158:Q158">L152</f>
        <v>0</v>
      </c>
      <c r="M158" s="133">
        <f t="shared" si="66"/>
        <v>0</v>
      </c>
      <c r="N158" s="133">
        <f t="shared" si="66"/>
        <v>0</v>
      </c>
      <c r="O158" s="133">
        <f t="shared" si="66"/>
        <v>0</v>
      </c>
      <c r="P158" s="133">
        <f t="shared" si="66"/>
        <v>0</v>
      </c>
      <c r="Q158" s="256">
        <f t="shared" si="66"/>
        <v>0</v>
      </c>
      <c r="R158" s="136">
        <f t="shared" si="52"/>
        <v>0</v>
      </c>
      <c r="S158" s="133">
        <f>S152</f>
        <v>0</v>
      </c>
      <c r="T158" s="167">
        <f>S158/F158*100</f>
        <v>0</v>
      </c>
      <c r="U158" s="134" t="e">
        <f t="shared" si="60"/>
        <v>#DIV/0!</v>
      </c>
      <c r="V158" s="133">
        <f>V152</f>
        <v>20</v>
      </c>
      <c r="W158" s="137">
        <f t="shared" si="53"/>
        <v>60.60606060606061</v>
      </c>
    </row>
    <row r="159" spans="1:23" ht="9.75" customHeight="1">
      <c r="A159" s="295"/>
      <c r="B159" s="228" t="s">
        <v>111</v>
      </c>
      <c r="C159" s="238">
        <f>SUM(C155,C157)</f>
        <v>23370</v>
      </c>
      <c r="D159" s="238">
        <f>SUM(D155,D157)</f>
        <v>11872</v>
      </c>
      <c r="E159" s="253">
        <f>D159/C159*100</f>
        <v>50.800171159606336</v>
      </c>
      <c r="F159" s="238">
        <f>SUM(F155,F157)</f>
        <v>4637</v>
      </c>
      <c r="G159" s="239">
        <f t="shared" si="50"/>
        <v>39.05828840970351</v>
      </c>
      <c r="H159" s="238">
        <f t="shared" si="57"/>
        <v>148</v>
      </c>
      <c r="I159" s="240">
        <f t="shared" si="58"/>
        <v>3.191718783696355</v>
      </c>
      <c r="J159" s="238">
        <f t="shared" si="59"/>
        <v>114</v>
      </c>
      <c r="K159" s="240">
        <f t="shared" si="51"/>
        <v>77.02702702702703</v>
      </c>
      <c r="L159" s="238">
        <f aca="true" t="shared" si="67" ref="L159:Q160">SUM(L155,L157)</f>
        <v>36</v>
      </c>
      <c r="M159" s="238">
        <f t="shared" si="67"/>
        <v>2</v>
      </c>
      <c r="N159" s="238">
        <f t="shared" si="67"/>
        <v>6</v>
      </c>
      <c r="O159" s="238">
        <f t="shared" si="67"/>
        <v>70</v>
      </c>
      <c r="P159" s="238">
        <f t="shared" si="67"/>
        <v>3</v>
      </c>
      <c r="Q159" s="241">
        <f t="shared" si="67"/>
        <v>31</v>
      </c>
      <c r="R159" s="242">
        <f t="shared" si="52"/>
        <v>0.04313133491481561</v>
      </c>
      <c r="S159" s="238">
        <f>SUM(S155,S157)</f>
        <v>1</v>
      </c>
      <c r="T159" s="243">
        <f>S159/F159*100</f>
        <v>0.021565667457407806</v>
      </c>
      <c r="U159" s="239">
        <f t="shared" si="60"/>
        <v>1.7543859649122806</v>
      </c>
      <c r="V159" s="238">
        <f>SUM(V155,V157)</f>
        <v>511</v>
      </c>
      <c r="W159" s="244">
        <f t="shared" si="53"/>
        <v>11.02005607073539</v>
      </c>
    </row>
    <row r="160" spans="1:23" ht="9.75" customHeight="1" thickBot="1">
      <c r="A160" s="296"/>
      <c r="B160" s="229" t="s">
        <v>112</v>
      </c>
      <c r="C160" s="262"/>
      <c r="D160" s="262"/>
      <c r="E160" s="263"/>
      <c r="F160" s="245">
        <f>SUM(F156,F158)</f>
        <v>281</v>
      </c>
      <c r="G160" s="272"/>
      <c r="H160" s="245">
        <f t="shared" si="57"/>
        <v>0</v>
      </c>
      <c r="I160" s="247">
        <f t="shared" si="58"/>
        <v>0</v>
      </c>
      <c r="J160" s="245">
        <f t="shared" si="59"/>
        <v>0</v>
      </c>
      <c r="K160" s="247" t="e">
        <f t="shared" si="51"/>
        <v>#DIV/0!</v>
      </c>
      <c r="L160" s="245">
        <f t="shared" si="67"/>
        <v>0</v>
      </c>
      <c r="M160" s="245">
        <f t="shared" si="67"/>
        <v>0</v>
      </c>
      <c r="N160" s="245">
        <f t="shared" si="67"/>
        <v>0</v>
      </c>
      <c r="O160" s="245">
        <f t="shared" si="67"/>
        <v>0</v>
      </c>
      <c r="P160" s="245">
        <f t="shared" si="67"/>
        <v>0</v>
      </c>
      <c r="Q160" s="248">
        <f t="shared" si="67"/>
        <v>0</v>
      </c>
      <c r="R160" s="249">
        <f t="shared" si="52"/>
        <v>0</v>
      </c>
      <c r="S160" s="245">
        <f>SUM(S156,S158)</f>
        <v>0</v>
      </c>
      <c r="T160" s="250">
        <f>S160/F160</f>
        <v>0</v>
      </c>
      <c r="U160" s="246" t="e">
        <f t="shared" si="60"/>
        <v>#DIV/0!</v>
      </c>
      <c r="V160" s="245">
        <f>SUM(V156,V158)</f>
        <v>137</v>
      </c>
      <c r="W160" s="251">
        <f t="shared" si="53"/>
        <v>48.754448398576514</v>
      </c>
    </row>
    <row r="161" spans="1:23" ht="9.75" customHeight="1">
      <c r="A161" s="297" t="s">
        <v>23</v>
      </c>
      <c r="B161" s="41" t="s">
        <v>96</v>
      </c>
      <c r="C161" s="111">
        <v>10359</v>
      </c>
      <c r="D161" s="111">
        <v>3971</v>
      </c>
      <c r="E161" s="121">
        <f>D161/C161*100</f>
        <v>38.33381600540593</v>
      </c>
      <c r="F161" s="122">
        <v>2020</v>
      </c>
      <c r="G161" s="113">
        <f t="shared" si="50"/>
        <v>50.86879879123647</v>
      </c>
      <c r="H161" s="111">
        <f t="shared" si="57"/>
        <v>84</v>
      </c>
      <c r="I161" s="123">
        <f t="shared" si="58"/>
        <v>4.158415841584159</v>
      </c>
      <c r="J161" s="111">
        <f t="shared" si="59"/>
        <v>61</v>
      </c>
      <c r="K161" s="123">
        <f t="shared" si="51"/>
        <v>72.61904761904762</v>
      </c>
      <c r="L161" s="111">
        <v>25</v>
      </c>
      <c r="M161" s="111">
        <v>1</v>
      </c>
      <c r="N161" s="111">
        <v>2</v>
      </c>
      <c r="O161" s="111">
        <v>33</v>
      </c>
      <c r="P161" s="111">
        <v>0</v>
      </c>
      <c r="Q161" s="124">
        <v>23</v>
      </c>
      <c r="R161" s="112">
        <f t="shared" si="52"/>
        <v>0.04950495049504951</v>
      </c>
      <c r="S161" s="205">
        <v>0</v>
      </c>
      <c r="T161" s="112">
        <f>S161/F161*100</f>
        <v>0</v>
      </c>
      <c r="U161" s="113">
        <f t="shared" si="60"/>
        <v>1.639344262295082</v>
      </c>
      <c r="V161" s="111">
        <v>196</v>
      </c>
      <c r="W161" s="114">
        <f t="shared" si="53"/>
        <v>9.702970297029703</v>
      </c>
    </row>
    <row r="162" spans="1:23" ht="9.75" customHeight="1">
      <c r="A162" s="298"/>
      <c r="B162" s="42" t="s">
        <v>99</v>
      </c>
      <c r="C162" s="258"/>
      <c r="D162" s="258"/>
      <c r="E162" s="264"/>
      <c r="F162" s="107">
        <v>66</v>
      </c>
      <c r="G162" s="270"/>
      <c r="H162" s="26">
        <f t="shared" si="57"/>
        <v>0</v>
      </c>
      <c r="I162" s="29">
        <f t="shared" si="58"/>
        <v>0</v>
      </c>
      <c r="J162" s="26">
        <f t="shared" si="59"/>
        <v>0</v>
      </c>
      <c r="K162" s="29" t="e">
        <f t="shared" si="51"/>
        <v>#DIV/0!</v>
      </c>
      <c r="L162" s="26">
        <v>0</v>
      </c>
      <c r="M162" s="26">
        <v>0</v>
      </c>
      <c r="N162" s="26">
        <v>0</v>
      </c>
      <c r="O162" s="26">
        <v>0</v>
      </c>
      <c r="P162" s="26">
        <v>0</v>
      </c>
      <c r="Q162" s="30">
        <v>0</v>
      </c>
      <c r="R162" s="31">
        <f t="shared" si="52"/>
        <v>0</v>
      </c>
      <c r="S162" s="206">
        <v>0</v>
      </c>
      <c r="T162" s="168">
        <f>S162/F162*100</f>
        <v>0</v>
      </c>
      <c r="U162" s="27" t="e">
        <f t="shared" si="60"/>
        <v>#DIV/0!</v>
      </c>
      <c r="V162" s="26">
        <v>14</v>
      </c>
      <c r="W162" s="32">
        <f t="shared" si="53"/>
        <v>21.21212121212121</v>
      </c>
    </row>
    <row r="163" spans="1:23" ht="9.75" customHeight="1">
      <c r="A163" s="298"/>
      <c r="B163" s="42" t="s">
        <v>97</v>
      </c>
      <c r="C163" s="26">
        <v>12434</v>
      </c>
      <c r="D163" s="26">
        <v>5784</v>
      </c>
      <c r="E163" s="121">
        <f>D163/C163*100</f>
        <v>46.51761299662216</v>
      </c>
      <c r="F163" s="107">
        <v>3436</v>
      </c>
      <c r="G163" s="27">
        <f t="shared" si="50"/>
        <v>59.405255878284926</v>
      </c>
      <c r="H163" s="26">
        <f t="shared" si="57"/>
        <v>145</v>
      </c>
      <c r="I163" s="29">
        <f t="shared" si="58"/>
        <v>4.2200232828870785</v>
      </c>
      <c r="J163" s="26">
        <f t="shared" si="59"/>
        <v>114</v>
      </c>
      <c r="K163" s="29">
        <f t="shared" si="51"/>
        <v>78.62068965517241</v>
      </c>
      <c r="L163" s="26">
        <v>58</v>
      </c>
      <c r="M163" s="26">
        <v>3</v>
      </c>
      <c r="N163" s="26">
        <v>6</v>
      </c>
      <c r="O163" s="26">
        <v>47</v>
      </c>
      <c r="P163" s="26">
        <v>0</v>
      </c>
      <c r="Q163" s="30">
        <v>31</v>
      </c>
      <c r="R163" s="31">
        <f t="shared" si="52"/>
        <v>0.08731082654249127</v>
      </c>
      <c r="S163" s="206">
        <v>0</v>
      </c>
      <c r="T163" s="168">
        <f>S163/F163*100</f>
        <v>0</v>
      </c>
      <c r="U163" s="27">
        <f t="shared" si="60"/>
        <v>2.631578947368421</v>
      </c>
      <c r="V163" s="26">
        <v>274</v>
      </c>
      <c r="W163" s="32">
        <f t="shared" si="53"/>
        <v>7.974388824214203</v>
      </c>
    </row>
    <row r="164" spans="1:23" ht="9.75" customHeight="1">
      <c r="A164" s="298"/>
      <c r="B164" s="41" t="s">
        <v>98</v>
      </c>
      <c r="C164" s="260"/>
      <c r="D164" s="260"/>
      <c r="E164" s="265"/>
      <c r="F164" s="108">
        <v>2</v>
      </c>
      <c r="G164" s="271"/>
      <c r="H164" s="105">
        <f t="shared" si="57"/>
        <v>0</v>
      </c>
      <c r="I164" s="106">
        <f t="shared" si="58"/>
        <v>0</v>
      </c>
      <c r="J164" s="105">
        <f t="shared" si="59"/>
        <v>0</v>
      </c>
      <c r="K164" s="106" t="e">
        <f t="shared" si="51"/>
        <v>#DIV/0!</v>
      </c>
      <c r="L164" s="105">
        <v>0</v>
      </c>
      <c r="M164" s="105">
        <v>0</v>
      </c>
      <c r="N164" s="105">
        <v>0</v>
      </c>
      <c r="O164" s="105">
        <v>0</v>
      </c>
      <c r="P164" s="105">
        <v>0</v>
      </c>
      <c r="Q164" s="115">
        <v>0</v>
      </c>
      <c r="R164" s="116">
        <f t="shared" si="52"/>
        <v>0</v>
      </c>
      <c r="S164" s="207">
        <v>0</v>
      </c>
      <c r="T164" s="208">
        <f>S164/F164*100</f>
        <v>0</v>
      </c>
      <c r="U164" s="104" t="e">
        <f t="shared" si="60"/>
        <v>#DIV/0!</v>
      </c>
      <c r="V164" s="105">
        <v>2</v>
      </c>
      <c r="W164" s="117">
        <f t="shared" si="53"/>
        <v>100</v>
      </c>
    </row>
    <row r="165" spans="1:23" ht="9.75" customHeight="1">
      <c r="A165" s="299"/>
      <c r="B165" s="209" t="s">
        <v>111</v>
      </c>
      <c r="C165" s="210">
        <f>SUM(C161,C163)</f>
        <v>22793</v>
      </c>
      <c r="D165" s="210">
        <f>SUM(D161,D163)</f>
        <v>9755</v>
      </c>
      <c r="E165" s="211">
        <f>D165/C165*100</f>
        <v>42.798227525994825</v>
      </c>
      <c r="F165" s="210">
        <f>SUM(F161,F163)</f>
        <v>5456</v>
      </c>
      <c r="G165" s="212">
        <f t="shared" si="50"/>
        <v>55.930292157867754</v>
      </c>
      <c r="H165" s="210">
        <f t="shared" si="57"/>
        <v>229</v>
      </c>
      <c r="I165" s="56">
        <f t="shared" si="58"/>
        <v>4.197214076246334</v>
      </c>
      <c r="J165" s="210">
        <f t="shared" si="59"/>
        <v>175</v>
      </c>
      <c r="K165" s="56">
        <f t="shared" si="51"/>
        <v>76.41921397379913</v>
      </c>
      <c r="L165" s="210">
        <f aca="true" t="shared" si="68" ref="L165:Q166">SUM(L161,L163)</f>
        <v>83</v>
      </c>
      <c r="M165" s="210">
        <f t="shared" si="68"/>
        <v>4</v>
      </c>
      <c r="N165" s="210">
        <f t="shared" si="68"/>
        <v>8</v>
      </c>
      <c r="O165" s="210">
        <f t="shared" si="68"/>
        <v>80</v>
      </c>
      <c r="P165" s="210">
        <f t="shared" si="68"/>
        <v>0</v>
      </c>
      <c r="Q165" s="213">
        <f t="shared" si="68"/>
        <v>54</v>
      </c>
      <c r="R165" s="214">
        <f t="shared" si="52"/>
        <v>0.07331378299120235</v>
      </c>
      <c r="S165" s="210">
        <f>SUM(S161,S163)</f>
        <v>0</v>
      </c>
      <c r="T165" s="216">
        <f>S165/F165*100</f>
        <v>0</v>
      </c>
      <c r="U165" s="212">
        <f t="shared" si="60"/>
        <v>2.2857142857142856</v>
      </c>
      <c r="V165" s="210">
        <f>SUM(V161,V163)</f>
        <v>470</v>
      </c>
      <c r="W165" s="227">
        <f t="shared" si="53"/>
        <v>8.614369501466276</v>
      </c>
    </row>
    <row r="166" spans="1:23" ht="9.75" customHeight="1" thickBot="1">
      <c r="A166" s="299"/>
      <c r="B166" s="231" t="s">
        <v>112</v>
      </c>
      <c r="C166" s="262"/>
      <c r="D166" s="262"/>
      <c r="E166" s="263"/>
      <c r="F166" s="232">
        <f>SUM(F162,F164)</f>
        <v>68</v>
      </c>
      <c r="G166" s="272"/>
      <c r="H166" s="232">
        <f t="shared" si="57"/>
        <v>0</v>
      </c>
      <c r="I166" s="93">
        <f t="shared" si="58"/>
        <v>0</v>
      </c>
      <c r="J166" s="232">
        <f t="shared" si="59"/>
        <v>0</v>
      </c>
      <c r="K166" s="93" t="e">
        <f t="shared" si="51"/>
        <v>#DIV/0!</v>
      </c>
      <c r="L166" s="232">
        <f t="shared" si="68"/>
        <v>0</v>
      </c>
      <c r="M166" s="232">
        <f t="shared" si="68"/>
        <v>0</v>
      </c>
      <c r="N166" s="232">
        <f t="shared" si="68"/>
        <v>0</v>
      </c>
      <c r="O166" s="232">
        <f t="shared" si="68"/>
        <v>0</v>
      </c>
      <c r="P166" s="232">
        <f t="shared" si="68"/>
        <v>0</v>
      </c>
      <c r="Q166" s="234">
        <f t="shared" si="68"/>
        <v>0</v>
      </c>
      <c r="R166" s="235">
        <f t="shared" si="52"/>
        <v>0</v>
      </c>
      <c r="S166" s="232">
        <f>SUM(S162,S164)</f>
        <v>0</v>
      </c>
      <c r="T166" s="236">
        <f>S166/F166</f>
        <v>0</v>
      </c>
      <c r="U166" s="233" t="e">
        <f t="shared" si="60"/>
        <v>#DIV/0!</v>
      </c>
      <c r="V166" s="232">
        <f>SUM(V162,V164)</f>
        <v>16</v>
      </c>
      <c r="W166" s="339">
        <f t="shared" si="53"/>
        <v>23.52941176470588</v>
      </c>
    </row>
    <row r="167" spans="1:23" ht="9.75" customHeight="1">
      <c r="A167" s="300" t="s">
        <v>38</v>
      </c>
      <c r="B167" s="118" t="s">
        <v>96</v>
      </c>
      <c r="C167" s="125">
        <f>C161</f>
        <v>10359</v>
      </c>
      <c r="D167" s="125">
        <f aca="true" t="shared" si="69" ref="C167:D169">D161</f>
        <v>3971</v>
      </c>
      <c r="E167" s="126">
        <f>D167/C167*100</f>
        <v>38.33381600540593</v>
      </c>
      <c r="F167" s="125">
        <f>F161</f>
        <v>2020</v>
      </c>
      <c r="G167" s="127">
        <f t="shared" si="50"/>
        <v>50.86879879123647</v>
      </c>
      <c r="H167" s="125">
        <f t="shared" si="57"/>
        <v>84</v>
      </c>
      <c r="I167" s="128">
        <f t="shared" si="58"/>
        <v>4.158415841584159</v>
      </c>
      <c r="J167" s="125">
        <f t="shared" si="59"/>
        <v>61</v>
      </c>
      <c r="K167" s="128">
        <f t="shared" si="51"/>
        <v>72.61904761904762</v>
      </c>
      <c r="L167" s="125">
        <f aca="true" t="shared" si="70" ref="L167:Q168">L161</f>
        <v>25</v>
      </c>
      <c r="M167" s="125">
        <f t="shared" si="70"/>
        <v>1</v>
      </c>
      <c r="N167" s="125">
        <f t="shared" si="70"/>
        <v>2</v>
      </c>
      <c r="O167" s="125">
        <f t="shared" si="70"/>
        <v>33</v>
      </c>
      <c r="P167" s="125">
        <f t="shared" si="70"/>
        <v>0</v>
      </c>
      <c r="Q167" s="129">
        <f t="shared" si="70"/>
        <v>23</v>
      </c>
      <c r="R167" s="130">
        <f t="shared" si="52"/>
        <v>0.04950495049504951</v>
      </c>
      <c r="S167" s="125">
        <f>S161</f>
        <v>0</v>
      </c>
      <c r="T167" s="130">
        <f>S167/F167*100</f>
        <v>0</v>
      </c>
      <c r="U167" s="127">
        <f t="shared" si="60"/>
        <v>1.639344262295082</v>
      </c>
      <c r="V167" s="125">
        <f>V161</f>
        <v>196</v>
      </c>
      <c r="W167" s="131">
        <f t="shared" si="53"/>
        <v>9.702970297029703</v>
      </c>
    </row>
    <row r="168" spans="1:23" ht="9.75" customHeight="1">
      <c r="A168" s="301"/>
      <c r="B168" s="119" t="s">
        <v>99</v>
      </c>
      <c r="C168" s="258"/>
      <c r="D168" s="258"/>
      <c r="E168" s="264"/>
      <c r="F168" s="20">
        <f>F162</f>
        <v>66</v>
      </c>
      <c r="G168" s="270"/>
      <c r="H168" s="20">
        <f t="shared" si="57"/>
        <v>0</v>
      </c>
      <c r="I168" s="22">
        <f t="shared" si="58"/>
        <v>0</v>
      </c>
      <c r="J168" s="20">
        <f t="shared" si="59"/>
        <v>0</v>
      </c>
      <c r="K168" s="22" t="e">
        <f t="shared" si="51"/>
        <v>#DIV/0!</v>
      </c>
      <c r="L168" s="20">
        <f t="shared" si="70"/>
        <v>0</v>
      </c>
      <c r="M168" s="20">
        <f t="shared" si="70"/>
        <v>0</v>
      </c>
      <c r="N168" s="20">
        <f t="shared" si="70"/>
        <v>0</v>
      </c>
      <c r="O168" s="20">
        <f t="shared" si="70"/>
        <v>0</v>
      </c>
      <c r="P168" s="20">
        <f t="shared" si="70"/>
        <v>0</v>
      </c>
      <c r="Q168" s="23">
        <f t="shared" si="70"/>
        <v>0</v>
      </c>
      <c r="R168" s="24">
        <f t="shared" si="52"/>
        <v>0</v>
      </c>
      <c r="S168" s="20">
        <f>S162</f>
        <v>0</v>
      </c>
      <c r="T168" s="166">
        <f>S168/F168*100</f>
        <v>0</v>
      </c>
      <c r="U168" s="21" t="e">
        <f t="shared" si="60"/>
        <v>#DIV/0!</v>
      </c>
      <c r="V168" s="20">
        <f>V162</f>
        <v>14</v>
      </c>
      <c r="W168" s="25">
        <f t="shared" si="53"/>
        <v>21.21212121212121</v>
      </c>
    </row>
    <row r="169" spans="1:23" ht="9.75" customHeight="1">
      <c r="A169" s="301"/>
      <c r="B169" s="119" t="s">
        <v>97</v>
      </c>
      <c r="C169" s="20">
        <f t="shared" si="69"/>
        <v>12434</v>
      </c>
      <c r="D169" s="20">
        <f t="shared" si="69"/>
        <v>5784</v>
      </c>
      <c r="E169" s="237">
        <f>D169/C169*100</f>
        <v>46.51761299662216</v>
      </c>
      <c r="F169" s="20">
        <f>F163</f>
        <v>3436</v>
      </c>
      <c r="G169" s="21">
        <f t="shared" si="50"/>
        <v>59.405255878284926</v>
      </c>
      <c r="H169" s="20">
        <f t="shared" si="57"/>
        <v>145</v>
      </c>
      <c r="I169" s="22">
        <f t="shared" si="58"/>
        <v>4.2200232828870785</v>
      </c>
      <c r="J169" s="20">
        <f t="shared" si="59"/>
        <v>114</v>
      </c>
      <c r="K169" s="22">
        <f t="shared" si="51"/>
        <v>78.62068965517241</v>
      </c>
      <c r="L169" s="20">
        <f aca="true" t="shared" si="71" ref="L169:Q169">L163</f>
        <v>58</v>
      </c>
      <c r="M169" s="20">
        <f t="shared" si="71"/>
        <v>3</v>
      </c>
      <c r="N169" s="20">
        <f t="shared" si="71"/>
        <v>6</v>
      </c>
      <c r="O169" s="20">
        <f t="shared" si="71"/>
        <v>47</v>
      </c>
      <c r="P169" s="20">
        <f t="shared" si="71"/>
        <v>0</v>
      </c>
      <c r="Q169" s="23">
        <f t="shared" si="71"/>
        <v>31</v>
      </c>
      <c r="R169" s="24">
        <f t="shared" si="52"/>
        <v>0.08731082654249127</v>
      </c>
      <c r="S169" s="20">
        <f>S163</f>
        <v>0</v>
      </c>
      <c r="T169" s="166">
        <f>S169/F169*100</f>
        <v>0</v>
      </c>
      <c r="U169" s="21">
        <f t="shared" si="60"/>
        <v>2.631578947368421</v>
      </c>
      <c r="V169" s="20">
        <f>V163</f>
        <v>274</v>
      </c>
      <c r="W169" s="25">
        <f t="shared" si="53"/>
        <v>7.974388824214203</v>
      </c>
    </row>
    <row r="170" spans="1:23" ht="9.75" customHeight="1">
      <c r="A170" s="301"/>
      <c r="B170" s="223" t="s">
        <v>98</v>
      </c>
      <c r="C170" s="260"/>
      <c r="D170" s="260"/>
      <c r="E170" s="265"/>
      <c r="F170" s="133">
        <f>F164</f>
        <v>2</v>
      </c>
      <c r="G170" s="271"/>
      <c r="H170" s="133">
        <f t="shared" si="57"/>
        <v>0</v>
      </c>
      <c r="I170" s="135">
        <f t="shared" si="58"/>
        <v>0</v>
      </c>
      <c r="J170" s="133">
        <f t="shared" si="59"/>
        <v>0</v>
      </c>
      <c r="K170" s="135" t="e">
        <f t="shared" si="51"/>
        <v>#DIV/0!</v>
      </c>
      <c r="L170" s="133">
        <f aca="true" t="shared" si="72" ref="L170:Q170">L164</f>
        <v>0</v>
      </c>
      <c r="M170" s="133">
        <f t="shared" si="72"/>
        <v>0</v>
      </c>
      <c r="N170" s="133">
        <f t="shared" si="72"/>
        <v>0</v>
      </c>
      <c r="O170" s="133">
        <f t="shared" si="72"/>
        <v>0</v>
      </c>
      <c r="P170" s="133">
        <f t="shared" si="72"/>
        <v>0</v>
      </c>
      <c r="Q170" s="256">
        <f t="shared" si="72"/>
        <v>0</v>
      </c>
      <c r="R170" s="136">
        <f t="shared" si="52"/>
        <v>0</v>
      </c>
      <c r="S170" s="133">
        <f>S164</f>
        <v>0</v>
      </c>
      <c r="T170" s="167">
        <f>S170/F170*100</f>
        <v>0</v>
      </c>
      <c r="U170" s="134" t="e">
        <f t="shared" si="60"/>
        <v>#DIV/0!</v>
      </c>
      <c r="V170" s="133">
        <f>V164</f>
        <v>2</v>
      </c>
      <c r="W170" s="137">
        <f t="shared" si="53"/>
        <v>100</v>
      </c>
    </row>
    <row r="171" spans="1:23" ht="9.75" customHeight="1">
      <c r="A171" s="302"/>
      <c r="B171" s="228" t="s">
        <v>111</v>
      </c>
      <c r="C171" s="238">
        <f>SUM(C167,C169)</f>
        <v>22793</v>
      </c>
      <c r="D171" s="238">
        <f>SUM(D167,D169)</f>
        <v>9755</v>
      </c>
      <c r="E171" s="253">
        <f>D171/C171*100</f>
        <v>42.798227525994825</v>
      </c>
      <c r="F171" s="238">
        <f>SUM(F167,F169)</f>
        <v>5456</v>
      </c>
      <c r="G171" s="239">
        <f t="shared" si="50"/>
        <v>55.930292157867754</v>
      </c>
      <c r="H171" s="238">
        <f t="shared" si="57"/>
        <v>229</v>
      </c>
      <c r="I171" s="240">
        <f t="shared" si="58"/>
        <v>4.197214076246334</v>
      </c>
      <c r="J171" s="238">
        <f t="shared" si="59"/>
        <v>175</v>
      </c>
      <c r="K171" s="240">
        <f t="shared" si="51"/>
        <v>76.41921397379913</v>
      </c>
      <c r="L171" s="238">
        <f aca="true" t="shared" si="73" ref="L171:Q172">SUM(L167,L169)</f>
        <v>83</v>
      </c>
      <c r="M171" s="238">
        <f t="shared" si="73"/>
        <v>4</v>
      </c>
      <c r="N171" s="238">
        <f t="shared" si="73"/>
        <v>8</v>
      </c>
      <c r="O171" s="238">
        <f t="shared" si="73"/>
        <v>80</v>
      </c>
      <c r="P171" s="238">
        <f t="shared" si="73"/>
        <v>0</v>
      </c>
      <c r="Q171" s="241">
        <f t="shared" si="73"/>
        <v>54</v>
      </c>
      <c r="R171" s="242">
        <f t="shared" si="52"/>
        <v>0.07331378299120235</v>
      </c>
      <c r="S171" s="238">
        <f>SUM(S167,S169)</f>
        <v>0</v>
      </c>
      <c r="T171" s="243">
        <f>S171/F171*100</f>
        <v>0</v>
      </c>
      <c r="U171" s="239">
        <f t="shared" si="60"/>
        <v>2.2857142857142856</v>
      </c>
      <c r="V171" s="238">
        <f>SUM(V167,V169)</f>
        <v>470</v>
      </c>
      <c r="W171" s="244">
        <f t="shared" si="53"/>
        <v>8.614369501466276</v>
      </c>
    </row>
    <row r="172" spans="1:23" ht="9.75" customHeight="1" thickBot="1">
      <c r="A172" s="303"/>
      <c r="B172" s="229" t="s">
        <v>112</v>
      </c>
      <c r="C172" s="262"/>
      <c r="D172" s="262"/>
      <c r="E172" s="263"/>
      <c r="F172" s="245">
        <f>SUM(F168,F170)</f>
        <v>68</v>
      </c>
      <c r="G172" s="272"/>
      <c r="H172" s="245">
        <f t="shared" si="57"/>
        <v>0</v>
      </c>
      <c r="I172" s="247">
        <f t="shared" si="58"/>
        <v>0</v>
      </c>
      <c r="J172" s="245">
        <f t="shared" si="59"/>
        <v>0</v>
      </c>
      <c r="K172" s="247" t="e">
        <f t="shared" si="51"/>
        <v>#DIV/0!</v>
      </c>
      <c r="L172" s="245">
        <f t="shared" si="73"/>
        <v>0</v>
      </c>
      <c r="M172" s="245">
        <f t="shared" si="73"/>
        <v>0</v>
      </c>
      <c r="N172" s="245">
        <f t="shared" si="73"/>
        <v>0</v>
      </c>
      <c r="O172" s="245">
        <f t="shared" si="73"/>
        <v>0</v>
      </c>
      <c r="P172" s="245">
        <f t="shared" si="73"/>
        <v>0</v>
      </c>
      <c r="Q172" s="248">
        <f t="shared" si="73"/>
        <v>0</v>
      </c>
      <c r="R172" s="249">
        <f t="shared" si="52"/>
        <v>0</v>
      </c>
      <c r="S172" s="245">
        <f>SUM(S168,S170)</f>
        <v>0</v>
      </c>
      <c r="T172" s="250">
        <f>S172/F172</f>
        <v>0</v>
      </c>
      <c r="U172" s="246" t="e">
        <f t="shared" si="60"/>
        <v>#DIV/0!</v>
      </c>
      <c r="V172" s="245">
        <f>SUM(V168,V170)</f>
        <v>16</v>
      </c>
      <c r="W172" s="251">
        <f t="shared" si="53"/>
        <v>23.52941176470588</v>
      </c>
    </row>
    <row r="173" spans="1:23" ht="9.75" customHeight="1">
      <c r="A173" s="290" t="s">
        <v>93</v>
      </c>
      <c r="B173" s="41" t="s">
        <v>96</v>
      </c>
      <c r="C173" s="111">
        <v>15012</v>
      </c>
      <c r="D173" s="111">
        <v>7049</v>
      </c>
      <c r="E173" s="121">
        <f>D173/C173*100</f>
        <v>46.95576871835865</v>
      </c>
      <c r="F173" s="122">
        <v>3099</v>
      </c>
      <c r="G173" s="113">
        <f t="shared" si="50"/>
        <v>43.963682791885375</v>
      </c>
      <c r="H173" s="111">
        <f t="shared" si="57"/>
        <v>143</v>
      </c>
      <c r="I173" s="123">
        <f t="shared" si="58"/>
        <v>4.614391739270732</v>
      </c>
      <c r="J173" s="111">
        <f t="shared" si="59"/>
        <v>121</v>
      </c>
      <c r="K173" s="123">
        <f t="shared" si="51"/>
        <v>84.61538461538461</v>
      </c>
      <c r="L173" s="111">
        <v>58</v>
      </c>
      <c r="M173" s="111">
        <v>1</v>
      </c>
      <c r="N173" s="111">
        <v>0</v>
      </c>
      <c r="O173" s="111">
        <v>62</v>
      </c>
      <c r="P173" s="111">
        <v>0</v>
      </c>
      <c r="Q173" s="124">
        <v>22</v>
      </c>
      <c r="R173" s="112">
        <f t="shared" si="52"/>
        <v>0.032268473701193935</v>
      </c>
      <c r="S173" s="205">
        <v>0</v>
      </c>
      <c r="T173" s="112">
        <f>S173/F173*100</f>
        <v>0</v>
      </c>
      <c r="U173" s="113">
        <f t="shared" si="60"/>
        <v>0.8264462809917356</v>
      </c>
      <c r="V173" s="111">
        <v>537</v>
      </c>
      <c r="W173" s="114">
        <f t="shared" si="53"/>
        <v>17.32817037754114</v>
      </c>
    </row>
    <row r="174" spans="1:23" ht="9.75" customHeight="1">
      <c r="A174" s="291"/>
      <c r="B174" s="42" t="s">
        <v>99</v>
      </c>
      <c r="C174" s="258"/>
      <c r="D174" s="258"/>
      <c r="E174" s="264"/>
      <c r="F174" s="107">
        <v>304</v>
      </c>
      <c r="G174" s="270"/>
      <c r="H174" s="26">
        <f t="shared" si="57"/>
        <v>3</v>
      </c>
      <c r="I174" s="29">
        <f t="shared" si="58"/>
        <v>0.9868421052631579</v>
      </c>
      <c r="J174" s="26">
        <f t="shared" si="59"/>
        <v>3</v>
      </c>
      <c r="K174" s="29">
        <f t="shared" si="51"/>
        <v>100</v>
      </c>
      <c r="L174" s="26">
        <v>0</v>
      </c>
      <c r="M174" s="26">
        <v>1</v>
      </c>
      <c r="N174" s="26">
        <v>1</v>
      </c>
      <c r="O174" s="26">
        <v>1</v>
      </c>
      <c r="P174" s="26">
        <v>0</v>
      </c>
      <c r="Q174" s="30">
        <v>0</v>
      </c>
      <c r="R174" s="31">
        <f t="shared" si="52"/>
        <v>0.3289473684210526</v>
      </c>
      <c r="S174" s="206">
        <v>0</v>
      </c>
      <c r="T174" s="168">
        <f>S174/F174*100</f>
        <v>0</v>
      </c>
      <c r="U174" s="27">
        <f t="shared" si="60"/>
        <v>33.33333333333333</v>
      </c>
      <c r="V174" s="26">
        <v>63</v>
      </c>
      <c r="W174" s="32">
        <f t="shared" si="53"/>
        <v>20.723684210526315</v>
      </c>
    </row>
    <row r="175" spans="1:23" ht="9.75" customHeight="1">
      <c r="A175" s="291"/>
      <c r="B175" s="42" t="s">
        <v>97</v>
      </c>
      <c r="C175" s="26">
        <v>18088</v>
      </c>
      <c r="D175" s="26">
        <v>11334</v>
      </c>
      <c r="E175" s="121">
        <f>D175/C175*100</f>
        <v>62.66032728881026</v>
      </c>
      <c r="F175" s="107">
        <v>4705</v>
      </c>
      <c r="G175" s="27">
        <f t="shared" si="50"/>
        <v>41.5122639844715</v>
      </c>
      <c r="H175" s="26">
        <f t="shared" si="57"/>
        <v>184</v>
      </c>
      <c r="I175" s="29">
        <f t="shared" si="58"/>
        <v>3.910733262486716</v>
      </c>
      <c r="J175" s="26">
        <f t="shared" si="59"/>
        <v>159</v>
      </c>
      <c r="K175" s="29">
        <f t="shared" si="51"/>
        <v>86.41304347826086</v>
      </c>
      <c r="L175" s="26">
        <v>94</v>
      </c>
      <c r="M175" s="26">
        <v>2</v>
      </c>
      <c r="N175" s="26">
        <v>1</v>
      </c>
      <c r="O175" s="26">
        <v>62</v>
      </c>
      <c r="P175" s="26">
        <v>0</v>
      </c>
      <c r="Q175" s="30">
        <v>25</v>
      </c>
      <c r="R175" s="31">
        <f t="shared" si="52"/>
        <v>0.04250797024442083</v>
      </c>
      <c r="S175" s="206">
        <v>0</v>
      </c>
      <c r="T175" s="168">
        <f>S175/F175*100</f>
        <v>0</v>
      </c>
      <c r="U175" s="27">
        <f t="shared" si="60"/>
        <v>1.257861635220126</v>
      </c>
      <c r="V175" s="26">
        <v>729</v>
      </c>
      <c r="W175" s="32">
        <f t="shared" si="53"/>
        <v>15.494155154091391</v>
      </c>
    </row>
    <row r="176" spans="1:23" ht="9.75" customHeight="1">
      <c r="A176" s="291"/>
      <c r="B176" s="41" t="s">
        <v>98</v>
      </c>
      <c r="C176" s="260"/>
      <c r="D176" s="260"/>
      <c r="E176" s="265"/>
      <c r="F176" s="108">
        <v>17</v>
      </c>
      <c r="G176" s="271"/>
      <c r="H176" s="105">
        <f t="shared" si="57"/>
        <v>0</v>
      </c>
      <c r="I176" s="106">
        <f t="shared" si="58"/>
        <v>0</v>
      </c>
      <c r="J176" s="105">
        <f t="shared" si="59"/>
        <v>0</v>
      </c>
      <c r="K176" s="106" t="e">
        <f t="shared" si="51"/>
        <v>#DIV/0!</v>
      </c>
      <c r="L176" s="105">
        <v>0</v>
      </c>
      <c r="M176" s="105">
        <v>0</v>
      </c>
      <c r="N176" s="105">
        <v>0</v>
      </c>
      <c r="O176" s="105">
        <v>0</v>
      </c>
      <c r="P176" s="105">
        <v>0</v>
      </c>
      <c r="Q176" s="115">
        <v>0</v>
      </c>
      <c r="R176" s="116">
        <f t="shared" si="52"/>
        <v>0</v>
      </c>
      <c r="S176" s="207">
        <v>0</v>
      </c>
      <c r="T176" s="208">
        <f>S176/F176*100</f>
        <v>0</v>
      </c>
      <c r="U176" s="104" t="e">
        <f t="shared" si="60"/>
        <v>#DIV/0!</v>
      </c>
      <c r="V176" s="105">
        <v>13</v>
      </c>
      <c r="W176" s="117">
        <f t="shared" si="53"/>
        <v>76.47058823529412</v>
      </c>
    </row>
    <row r="177" spans="1:23" ht="9.75" customHeight="1">
      <c r="A177" s="291"/>
      <c r="B177" s="209" t="s">
        <v>111</v>
      </c>
      <c r="C177" s="210">
        <f>SUM(C173,C175)</f>
        <v>33100</v>
      </c>
      <c r="D177" s="210">
        <f>SUM(D173,D175)</f>
        <v>18383</v>
      </c>
      <c r="E177" s="211">
        <f>D177/C177*100</f>
        <v>55.537764350453166</v>
      </c>
      <c r="F177" s="210">
        <f>SUM(F173,F175)</f>
        <v>7804</v>
      </c>
      <c r="G177" s="212">
        <f t="shared" si="50"/>
        <v>42.45226568024806</v>
      </c>
      <c r="H177" s="210">
        <f t="shared" si="57"/>
        <v>327</v>
      </c>
      <c r="I177" s="56">
        <f t="shared" si="58"/>
        <v>4.1901588928754485</v>
      </c>
      <c r="J177" s="210">
        <f t="shared" si="59"/>
        <v>280</v>
      </c>
      <c r="K177" s="56">
        <f t="shared" si="51"/>
        <v>85.62691131498471</v>
      </c>
      <c r="L177" s="210">
        <f aca="true" t="shared" si="74" ref="L177:Q178">SUM(L173,L175)</f>
        <v>152</v>
      </c>
      <c r="M177" s="210">
        <f t="shared" si="74"/>
        <v>3</v>
      </c>
      <c r="N177" s="210">
        <f t="shared" si="74"/>
        <v>1</v>
      </c>
      <c r="O177" s="210">
        <f t="shared" si="74"/>
        <v>124</v>
      </c>
      <c r="P177" s="210">
        <f t="shared" si="74"/>
        <v>0</v>
      </c>
      <c r="Q177" s="213">
        <f t="shared" si="74"/>
        <v>47</v>
      </c>
      <c r="R177" s="214">
        <f t="shared" si="52"/>
        <v>0.03844182470527935</v>
      </c>
      <c r="S177" s="210">
        <f>SUM(S173,S175)</f>
        <v>0</v>
      </c>
      <c r="T177" s="216">
        <f>S177/F177*100</f>
        <v>0</v>
      </c>
      <c r="U177" s="212">
        <f t="shared" si="60"/>
        <v>1.0714285714285714</v>
      </c>
      <c r="V177" s="210">
        <f>SUM(V173,V175)</f>
        <v>1266</v>
      </c>
      <c r="W177" s="227">
        <f t="shared" si="53"/>
        <v>16.222450025627882</v>
      </c>
    </row>
    <row r="178" spans="1:23" ht="9.75" customHeight="1">
      <c r="A178" s="291"/>
      <c r="B178" s="217" t="s">
        <v>112</v>
      </c>
      <c r="C178" s="266"/>
      <c r="D178" s="266"/>
      <c r="E178" s="268"/>
      <c r="F178" s="218">
        <f>SUM(F174,F176)</f>
        <v>321</v>
      </c>
      <c r="G178" s="273"/>
      <c r="H178" s="218">
        <f t="shared" si="57"/>
        <v>3</v>
      </c>
      <c r="I178" s="220">
        <f t="shared" si="58"/>
        <v>0.9345794392523363</v>
      </c>
      <c r="J178" s="218">
        <f t="shared" si="59"/>
        <v>3</v>
      </c>
      <c r="K178" s="220">
        <f t="shared" si="51"/>
        <v>100</v>
      </c>
      <c r="L178" s="218">
        <f t="shared" si="74"/>
        <v>0</v>
      </c>
      <c r="M178" s="218">
        <f t="shared" si="74"/>
        <v>1</v>
      </c>
      <c r="N178" s="218">
        <f t="shared" si="74"/>
        <v>1</v>
      </c>
      <c r="O178" s="218">
        <f t="shared" si="74"/>
        <v>1</v>
      </c>
      <c r="P178" s="218">
        <f t="shared" si="74"/>
        <v>0</v>
      </c>
      <c r="Q178" s="221">
        <f t="shared" si="74"/>
        <v>0</v>
      </c>
      <c r="R178" s="222">
        <f t="shared" si="52"/>
        <v>0.3115264797507788</v>
      </c>
      <c r="S178" s="218">
        <f>SUM(S174,S176)</f>
        <v>0</v>
      </c>
      <c r="T178" s="169">
        <f>S178/F178</f>
        <v>0</v>
      </c>
      <c r="U178" s="219">
        <f t="shared" si="60"/>
        <v>33.33333333333333</v>
      </c>
      <c r="V178" s="218">
        <f>SUM(V174,V176)</f>
        <v>76</v>
      </c>
      <c r="W178" s="338">
        <f t="shared" si="53"/>
        <v>23.67601246105919</v>
      </c>
    </row>
    <row r="179" spans="1:23" ht="9.75" customHeight="1">
      <c r="A179" s="298" t="s">
        <v>24</v>
      </c>
      <c r="B179" s="41" t="s">
        <v>96</v>
      </c>
      <c r="C179" s="111">
        <v>326</v>
      </c>
      <c r="D179" s="111">
        <v>180</v>
      </c>
      <c r="E179" s="121">
        <f>D179/C179*100</f>
        <v>55.21472392638037</v>
      </c>
      <c r="F179" s="122">
        <v>150</v>
      </c>
      <c r="G179" s="113">
        <f t="shared" si="50"/>
        <v>83.33333333333334</v>
      </c>
      <c r="H179" s="111">
        <f t="shared" si="57"/>
        <v>9</v>
      </c>
      <c r="I179" s="123">
        <f t="shared" si="58"/>
        <v>6</v>
      </c>
      <c r="J179" s="111">
        <f t="shared" si="59"/>
        <v>7</v>
      </c>
      <c r="K179" s="123">
        <f t="shared" si="51"/>
        <v>77.77777777777779</v>
      </c>
      <c r="L179" s="111">
        <v>7</v>
      </c>
      <c r="M179" s="111">
        <v>0</v>
      </c>
      <c r="N179" s="111">
        <v>0</v>
      </c>
      <c r="O179" s="111">
        <v>0</v>
      </c>
      <c r="P179" s="111">
        <v>0</v>
      </c>
      <c r="Q179" s="124">
        <v>2</v>
      </c>
      <c r="R179" s="112">
        <f t="shared" si="52"/>
        <v>0</v>
      </c>
      <c r="S179" s="205">
        <v>0</v>
      </c>
      <c r="T179" s="112">
        <f>S179/F179*100</f>
        <v>0</v>
      </c>
      <c r="U179" s="113">
        <f t="shared" si="60"/>
        <v>0</v>
      </c>
      <c r="V179" s="111">
        <v>29</v>
      </c>
      <c r="W179" s="114">
        <f t="shared" si="53"/>
        <v>19.333333333333332</v>
      </c>
    </row>
    <row r="180" spans="1:23" ht="9.75" customHeight="1">
      <c r="A180" s="298"/>
      <c r="B180" s="42" t="s">
        <v>99</v>
      </c>
      <c r="C180" s="258"/>
      <c r="D180" s="258"/>
      <c r="E180" s="264"/>
      <c r="F180" s="107">
        <v>18</v>
      </c>
      <c r="G180" s="270"/>
      <c r="H180" s="26">
        <f t="shared" si="57"/>
        <v>0</v>
      </c>
      <c r="I180" s="29">
        <f t="shared" si="58"/>
        <v>0</v>
      </c>
      <c r="J180" s="26">
        <f t="shared" si="59"/>
        <v>0</v>
      </c>
      <c r="K180" s="29" t="e">
        <f t="shared" si="51"/>
        <v>#DIV/0!</v>
      </c>
      <c r="L180" s="26">
        <v>0</v>
      </c>
      <c r="M180" s="26">
        <v>0</v>
      </c>
      <c r="N180" s="26">
        <v>0</v>
      </c>
      <c r="O180" s="26">
        <v>0</v>
      </c>
      <c r="P180" s="26">
        <v>0</v>
      </c>
      <c r="Q180" s="30">
        <v>0</v>
      </c>
      <c r="R180" s="31">
        <f t="shared" si="52"/>
        <v>0</v>
      </c>
      <c r="S180" s="206">
        <v>0</v>
      </c>
      <c r="T180" s="168">
        <f>S180/F180*100</f>
        <v>0</v>
      </c>
      <c r="U180" s="27" t="e">
        <f t="shared" si="60"/>
        <v>#DIV/0!</v>
      </c>
      <c r="V180" s="26">
        <v>0</v>
      </c>
      <c r="W180" s="32">
        <f t="shared" si="53"/>
        <v>0</v>
      </c>
    </row>
    <row r="181" spans="1:23" ht="9.75" customHeight="1">
      <c r="A181" s="298"/>
      <c r="B181" s="42" t="s">
        <v>97</v>
      </c>
      <c r="C181" s="26">
        <v>398</v>
      </c>
      <c r="D181" s="26">
        <v>287</v>
      </c>
      <c r="E181" s="121">
        <f>D181/C181*100</f>
        <v>72.11055276381909</v>
      </c>
      <c r="F181" s="107">
        <v>214</v>
      </c>
      <c r="G181" s="27">
        <f t="shared" si="50"/>
        <v>74.56445993031359</v>
      </c>
      <c r="H181" s="26">
        <f t="shared" si="57"/>
        <v>6</v>
      </c>
      <c r="I181" s="29">
        <f t="shared" si="58"/>
        <v>2.803738317757009</v>
      </c>
      <c r="J181" s="26">
        <f t="shared" si="59"/>
        <v>5</v>
      </c>
      <c r="K181" s="29">
        <f t="shared" si="51"/>
        <v>83.33333333333334</v>
      </c>
      <c r="L181" s="26">
        <v>5</v>
      </c>
      <c r="M181" s="26">
        <v>0</v>
      </c>
      <c r="N181" s="26">
        <v>0</v>
      </c>
      <c r="O181" s="26">
        <v>0</v>
      </c>
      <c r="P181" s="26">
        <v>0</v>
      </c>
      <c r="Q181" s="30">
        <v>1</v>
      </c>
      <c r="R181" s="31">
        <f t="shared" si="52"/>
        <v>0</v>
      </c>
      <c r="S181" s="206">
        <v>0</v>
      </c>
      <c r="T181" s="168">
        <f>S181/F181*100</f>
        <v>0</v>
      </c>
      <c r="U181" s="27">
        <f t="shared" si="60"/>
        <v>0</v>
      </c>
      <c r="V181" s="26">
        <v>23</v>
      </c>
      <c r="W181" s="32">
        <f t="shared" si="53"/>
        <v>10.74766355140187</v>
      </c>
    </row>
    <row r="182" spans="1:23" ht="9.75" customHeight="1">
      <c r="A182" s="298"/>
      <c r="B182" s="41" t="s">
        <v>98</v>
      </c>
      <c r="C182" s="260"/>
      <c r="D182" s="260"/>
      <c r="E182" s="265"/>
      <c r="F182" s="108">
        <v>1</v>
      </c>
      <c r="G182" s="271"/>
      <c r="H182" s="105">
        <f t="shared" si="57"/>
        <v>0</v>
      </c>
      <c r="I182" s="106">
        <f t="shared" si="58"/>
        <v>0</v>
      </c>
      <c r="J182" s="105">
        <f t="shared" si="59"/>
        <v>0</v>
      </c>
      <c r="K182" s="106" t="e">
        <f t="shared" si="51"/>
        <v>#DIV/0!</v>
      </c>
      <c r="L182" s="105">
        <v>0</v>
      </c>
      <c r="M182" s="105">
        <v>0</v>
      </c>
      <c r="N182" s="105">
        <v>0</v>
      </c>
      <c r="O182" s="105">
        <v>0</v>
      </c>
      <c r="P182" s="105">
        <v>0</v>
      </c>
      <c r="Q182" s="115">
        <v>0</v>
      </c>
      <c r="R182" s="116">
        <f t="shared" si="52"/>
        <v>0</v>
      </c>
      <c r="S182" s="207">
        <v>0</v>
      </c>
      <c r="T182" s="208">
        <f>S182/F182*100</f>
        <v>0</v>
      </c>
      <c r="U182" s="104" t="e">
        <f t="shared" si="60"/>
        <v>#DIV/0!</v>
      </c>
      <c r="V182" s="105">
        <v>0</v>
      </c>
      <c r="W182" s="117">
        <f t="shared" si="53"/>
        <v>0</v>
      </c>
    </row>
    <row r="183" spans="1:23" ht="9.75" customHeight="1">
      <c r="A183" s="298"/>
      <c r="B183" s="209" t="s">
        <v>111</v>
      </c>
      <c r="C183" s="210">
        <f>SUM(C179,C181)</f>
        <v>724</v>
      </c>
      <c r="D183" s="210">
        <f>SUM(D179,D181)</f>
        <v>467</v>
      </c>
      <c r="E183" s="211">
        <f>D183/C183*100</f>
        <v>64.50276243093923</v>
      </c>
      <c r="F183" s="210">
        <f>SUM(F179,F181)</f>
        <v>364</v>
      </c>
      <c r="G183" s="212">
        <f t="shared" si="50"/>
        <v>77.94432548179871</v>
      </c>
      <c r="H183" s="210">
        <f t="shared" si="57"/>
        <v>15</v>
      </c>
      <c r="I183" s="56">
        <f t="shared" si="58"/>
        <v>4.1208791208791204</v>
      </c>
      <c r="J183" s="210">
        <f t="shared" si="59"/>
        <v>12</v>
      </c>
      <c r="K183" s="56">
        <f t="shared" si="51"/>
        <v>80</v>
      </c>
      <c r="L183" s="210">
        <f aca="true" t="shared" si="75" ref="L183:Q184">SUM(L179,L181)</f>
        <v>12</v>
      </c>
      <c r="M183" s="210">
        <f t="shared" si="75"/>
        <v>0</v>
      </c>
      <c r="N183" s="210">
        <f t="shared" si="75"/>
        <v>0</v>
      </c>
      <c r="O183" s="210">
        <f t="shared" si="75"/>
        <v>0</v>
      </c>
      <c r="P183" s="210">
        <f t="shared" si="75"/>
        <v>0</v>
      </c>
      <c r="Q183" s="213">
        <f t="shared" si="75"/>
        <v>3</v>
      </c>
      <c r="R183" s="214">
        <f t="shared" si="52"/>
        <v>0</v>
      </c>
      <c r="S183" s="210">
        <f>SUM(S179,S181)</f>
        <v>0</v>
      </c>
      <c r="T183" s="216">
        <f>S183/F183*100</f>
        <v>0</v>
      </c>
      <c r="U183" s="212">
        <f t="shared" si="60"/>
        <v>0</v>
      </c>
      <c r="V183" s="210">
        <f>SUM(V179,V181)</f>
        <v>52</v>
      </c>
      <c r="W183" s="227">
        <f t="shared" si="53"/>
        <v>14.285714285714285</v>
      </c>
    </row>
    <row r="184" spans="1:23" ht="9.75" customHeight="1" thickBot="1">
      <c r="A184" s="299"/>
      <c r="B184" s="231" t="s">
        <v>112</v>
      </c>
      <c r="C184" s="262"/>
      <c r="D184" s="262"/>
      <c r="E184" s="263"/>
      <c r="F184" s="232">
        <f>SUM(F180,F182)</f>
        <v>19</v>
      </c>
      <c r="G184" s="272"/>
      <c r="H184" s="232">
        <f t="shared" si="57"/>
        <v>0</v>
      </c>
      <c r="I184" s="93">
        <f t="shared" si="58"/>
        <v>0</v>
      </c>
      <c r="J184" s="232">
        <f t="shared" si="59"/>
        <v>0</v>
      </c>
      <c r="K184" s="93" t="e">
        <f t="shared" si="51"/>
        <v>#DIV/0!</v>
      </c>
      <c r="L184" s="232">
        <f t="shared" si="75"/>
        <v>0</v>
      </c>
      <c r="M184" s="232">
        <f t="shared" si="75"/>
        <v>0</v>
      </c>
      <c r="N184" s="232">
        <f t="shared" si="75"/>
        <v>0</v>
      </c>
      <c r="O184" s="232">
        <f t="shared" si="75"/>
        <v>0</v>
      </c>
      <c r="P184" s="232">
        <f t="shared" si="75"/>
        <v>0</v>
      </c>
      <c r="Q184" s="234">
        <f t="shared" si="75"/>
        <v>0</v>
      </c>
      <c r="R184" s="235">
        <f t="shared" si="52"/>
        <v>0</v>
      </c>
      <c r="S184" s="232">
        <f>SUM(S180,S182)</f>
        <v>0</v>
      </c>
      <c r="T184" s="236">
        <f>S184/F184</f>
        <v>0</v>
      </c>
      <c r="U184" s="233" t="e">
        <f t="shared" si="60"/>
        <v>#DIV/0!</v>
      </c>
      <c r="V184" s="232">
        <f>SUM(V180,V182)</f>
        <v>0</v>
      </c>
      <c r="W184" s="339">
        <f t="shared" si="53"/>
        <v>0</v>
      </c>
    </row>
    <row r="185" spans="1:23" ht="9.75" customHeight="1">
      <c r="A185" s="300" t="s">
        <v>39</v>
      </c>
      <c r="B185" s="118" t="s">
        <v>96</v>
      </c>
      <c r="C185" s="125">
        <f>SUM(C173,C179)</f>
        <v>15338</v>
      </c>
      <c r="D185" s="125">
        <f>SUM(D173,D179)</f>
        <v>7229</v>
      </c>
      <c r="E185" s="126">
        <f>D185/C185*100</f>
        <v>47.13130786282436</v>
      </c>
      <c r="F185" s="125">
        <f>SUM(F173,F179)</f>
        <v>3249</v>
      </c>
      <c r="G185" s="127">
        <f t="shared" si="50"/>
        <v>44.94397565361737</v>
      </c>
      <c r="H185" s="125">
        <f t="shared" si="57"/>
        <v>152</v>
      </c>
      <c r="I185" s="128">
        <f t="shared" si="58"/>
        <v>4.678362573099415</v>
      </c>
      <c r="J185" s="125">
        <f t="shared" si="59"/>
        <v>128</v>
      </c>
      <c r="K185" s="128">
        <f t="shared" si="51"/>
        <v>84.21052631578947</v>
      </c>
      <c r="L185" s="125">
        <f aca="true" t="shared" si="76" ref="L185:Q188">SUM(L173,L179)</f>
        <v>65</v>
      </c>
      <c r="M185" s="125">
        <f t="shared" si="76"/>
        <v>1</v>
      </c>
      <c r="N185" s="125">
        <f t="shared" si="76"/>
        <v>0</v>
      </c>
      <c r="O185" s="125">
        <f t="shared" si="76"/>
        <v>62</v>
      </c>
      <c r="P185" s="125">
        <f t="shared" si="76"/>
        <v>0</v>
      </c>
      <c r="Q185" s="129">
        <f t="shared" si="76"/>
        <v>24</v>
      </c>
      <c r="R185" s="130">
        <f t="shared" si="52"/>
        <v>0.03077870113881194</v>
      </c>
      <c r="S185" s="125">
        <f>SUM(S173,S179)</f>
        <v>0</v>
      </c>
      <c r="T185" s="130">
        <f>S185/F185*100</f>
        <v>0</v>
      </c>
      <c r="U185" s="127">
        <f t="shared" si="60"/>
        <v>0.78125</v>
      </c>
      <c r="V185" s="125">
        <f>SUM(V173,V179)</f>
        <v>566</v>
      </c>
      <c r="W185" s="131">
        <f t="shared" si="53"/>
        <v>17.420744844567558</v>
      </c>
    </row>
    <row r="186" spans="1:23" ht="9.75" customHeight="1">
      <c r="A186" s="301"/>
      <c r="B186" s="119" t="s">
        <v>99</v>
      </c>
      <c r="C186" s="258"/>
      <c r="D186" s="258"/>
      <c r="E186" s="264"/>
      <c r="F186" s="20">
        <f>SUM(F174,F180)</f>
        <v>322</v>
      </c>
      <c r="G186" s="270"/>
      <c r="H186" s="20">
        <f t="shared" si="57"/>
        <v>3</v>
      </c>
      <c r="I186" s="22">
        <f t="shared" si="58"/>
        <v>0.9316770186335404</v>
      </c>
      <c r="J186" s="20">
        <f t="shared" si="59"/>
        <v>3</v>
      </c>
      <c r="K186" s="22">
        <f t="shared" si="51"/>
        <v>100</v>
      </c>
      <c r="L186" s="20">
        <f t="shared" si="76"/>
        <v>0</v>
      </c>
      <c r="M186" s="20">
        <f t="shared" si="76"/>
        <v>1</v>
      </c>
      <c r="N186" s="20">
        <f t="shared" si="76"/>
        <v>1</v>
      </c>
      <c r="O186" s="20">
        <f t="shared" si="76"/>
        <v>1</v>
      </c>
      <c r="P186" s="20">
        <f t="shared" si="76"/>
        <v>0</v>
      </c>
      <c r="Q186" s="23">
        <f t="shared" si="76"/>
        <v>0</v>
      </c>
      <c r="R186" s="24">
        <f t="shared" si="52"/>
        <v>0.3105590062111801</v>
      </c>
      <c r="S186" s="20">
        <f>SUM(S174,S180)</f>
        <v>0</v>
      </c>
      <c r="T186" s="166">
        <f>S186/F186*100</f>
        <v>0</v>
      </c>
      <c r="U186" s="21">
        <f t="shared" si="60"/>
        <v>33.33333333333333</v>
      </c>
      <c r="V186" s="20">
        <f>SUM(V174,V180)</f>
        <v>63</v>
      </c>
      <c r="W186" s="25">
        <f t="shared" si="53"/>
        <v>19.565217391304348</v>
      </c>
    </row>
    <row r="187" spans="1:23" ht="9.75" customHeight="1">
      <c r="A187" s="301"/>
      <c r="B187" s="119" t="s">
        <v>97</v>
      </c>
      <c r="C187" s="20">
        <f>SUM(C175,C181)</f>
        <v>18486</v>
      </c>
      <c r="D187" s="20">
        <f>SUM(D175,D181)</f>
        <v>11621</v>
      </c>
      <c r="E187" s="237">
        <f>D187/C187*100</f>
        <v>62.8637888131559</v>
      </c>
      <c r="F187" s="20">
        <f>SUM(F175,F181)</f>
        <v>4919</v>
      </c>
      <c r="G187" s="21">
        <f t="shared" si="50"/>
        <v>42.32854315463385</v>
      </c>
      <c r="H187" s="20">
        <f t="shared" si="57"/>
        <v>190</v>
      </c>
      <c r="I187" s="22">
        <f t="shared" si="58"/>
        <v>3.8625736938402113</v>
      </c>
      <c r="J187" s="20">
        <f t="shared" si="59"/>
        <v>164</v>
      </c>
      <c r="K187" s="22">
        <f t="shared" si="51"/>
        <v>86.31578947368422</v>
      </c>
      <c r="L187" s="20">
        <f t="shared" si="76"/>
        <v>99</v>
      </c>
      <c r="M187" s="20">
        <f t="shared" si="76"/>
        <v>2</v>
      </c>
      <c r="N187" s="20">
        <f t="shared" si="76"/>
        <v>1</v>
      </c>
      <c r="O187" s="20">
        <f t="shared" si="76"/>
        <v>62</v>
      </c>
      <c r="P187" s="20">
        <f t="shared" si="76"/>
        <v>0</v>
      </c>
      <c r="Q187" s="23">
        <f t="shared" si="76"/>
        <v>26</v>
      </c>
      <c r="R187" s="24">
        <f t="shared" si="52"/>
        <v>0.04065867046147591</v>
      </c>
      <c r="S187" s="20">
        <f>SUM(S175,S181)</f>
        <v>0</v>
      </c>
      <c r="T187" s="166">
        <f>S187/F187*100</f>
        <v>0</v>
      </c>
      <c r="U187" s="21">
        <f t="shared" si="60"/>
        <v>1.2195121951219512</v>
      </c>
      <c r="V187" s="20">
        <f>SUM(V175,V181)</f>
        <v>752</v>
      </c>
      <c r="W187" s="25">
        <f t="shared" si="53"/>
        <v>15.287660093514944</v>
      </c>
    </row>
    <row r="188" spans="1:23" ht="9.75" customHeight="1">
      <c r="A188" s="301"/>
      <c r="B188" s="223" t="s">
        <v>98</v>
      </c>
      <c r="C188" s="260"/>
      <c r="D188" s="260"/>
      <c r="E188" s="265"/>
      <c r="F188" s="133">
        <f>SUM(F176,F182)</f>
        <v>18</v>
      </c>
      <c r="G188" s="271"/>
      <c r="H188" s="133">
        <f t="shared" si="57"/>
        <v>0</v>
      </c>
      <c r="I188" s="135">
        <f t="shared" si="58"/>
        <v>0</v>
      </c>
      <c r="J188" s="133">
        <f t="shared" si="59"/>
        <v>0</v>
      </c>
      <c r="K188" s="135" t="e">
        <f t="shared" si="51"/>
        <v>#DIV/0!</v>
      </c>
      <c r="L188" s="133">
        <f t="shared" si="76"/>
        <v>0</v>
      </c>
      <c r="M188" s="133">
        <f t="shared" si="76"/>
        <v>0</v>
      </c>
      <c r="N188" s="133">
        <f t="shared" si="76"/>
        <v>0</v>
      </c>
      <c r="O188" s="133">
        <f t="shared" si="76"/>
        <v>0</v>
      </c>
      <c r="P188" s="133">
        <f t="shared" si="76"/>
        <v>0</v>
      </c>
      <c r="Q188" s="256">
        <f t="shared" si="76"/>
        <v>0</v>
      </c>
      <c r="R188" s="136">
        <f t="shared" si="52"/>
        <v>0</v>
      </c>
      <c r="S188" s="133">
        <f>SUM(S176,S182)</f>
        <v>0</v>
      </c>
      <c r="T188" s="167">
        <f>S188/F188*100</f>
        <v>0</v>
      </c>
      <c r="U188" s="134" t="e">
        <f t="shared" si="60"/>
        <v>#DIV/0!</v>
      </c>
      <c r="V188" s="133">
        <f>SUM(V176,V182)</f>
        <v>13</v>
      </c>
      <c r="W188" s="137">
        <f t="shared" si="53"/>
        <v>72.22222222222221</v>
      </c>
    </row>
    <row r="189" spans="1:23" ht="9.75" customHeight="1">
      <c r="A189" s="302"/>
      <c r="B189" s="228" t="s">
        <v>111</v>
      </c>
      <c r="C189" s="238">
        <f>SUM(C185,C187)</f>
        <v>33824</v>
      </c>
      <c r="D189" s="238">
        <f>SUM(D185,D187)</f>
        <v>18850</v>
      </c>
      <c r="E189" s="253">
        <f>D189/C189*100</f>
        <v>55.72965941343425</v>
      </c>
      <c r="F189" s="238">
        <f>SUM(F185,F187)</f>
        <v>8168</v>
      </c>
      <c r="G189" s="239">
        <f t="shared" si="50"/>
        <v>43.331564986737405</v>
      </c>
      <c r="H189" s="238">
        <f t="shared" si="57"/>
        <v>342</v>
      </c>
      <c r="I189" s="240">
        <f t="shared" si="58"/>
        <v>4.187071498530852</v>
      </c>
      <c r="J189" s="238">
        <f t="shared" si="59"/>
        <v>292</v>
      </c>
      <c r="K189" s="240">
        <f t="shared" si="51"/>
        <v>85.38011695906432</v>
      </c>
      <c r="L189" s="238">
        <f aca="true" t="shared" si="77" ref="L189:Q190">SUM(L185,L187)</f>
        <v>164</v>
      </c>
      <c r="M189" s="238">
        <f t="shared" si="77"/>
        <v>3</v>
      </c>
      <c r="N189" s="238">
        <f t="shared" si="77"/>
        <v>1</v>
      </c>
      <c r="O189" s="238">
        <f t="shared" si="77"/>
        <v>124</v>
      </c>
      <c r="P189" s="238">
        <f t="shared" si="77"/>
        <v>0</v>
      </c>
      <c r="Q189" s="241">
        <f t="shared" si="77"/>
        <v>50</v>
      </c>
      <c r="R189" s="242">
        <f t="shared" si="52"/>
        <v>0.03672869735553379</v>
      </c>
      <c r="S189" s="238">
        <f>SUM(S185,S187)</f>
        <v>0</v>
      </c>
      <c r="T189" s="243">
        <f>S189/F189*100</f>
        <v>0</v>
      </c>
      <c r="U189" s="239">
        <f t="shared" si="60"/>
        <v>1.0273972602739725</v>
      </c>
      <c r="V189" s="238">
        <f>SUM(V185,V187)</f>
        <v>1318</v>
      </c>
      <c r="W189" s="244">
        <f t="shared" si="53"/>
        <v>16.136141038197845</v>
      </c>
    </row>
    <row r="190" spans="1:23" ht="9.75" customHeight="1" thickBot="1">
      <c r="A190" s="303"/>
      <c r="B190" s="229" t="s">
        <v>112</v>
      </c>
      <c r="C190" s="262"/>
      <c r="D190" s="262"/>
      <c r="E190" s="263"/>
      <c r="F190" s="245">
        <f>SUM(F186,F188)</f>
        <v>340</v>
      </c>
      <c r="G190" s="272"/>
      <c r="H190" s="245">
        <f t="shared" si="57"/>
        <v>3</v>
      </c>
      <c r="I190" s="247">
        <f t="shared" si="58"/>
        <v>0.8823529411764706</v>
      </c>
      <c r="J190" s="245">
        <f t="shared" si="59"/>
        <v>3</v>
      </c>
      <c r="K190" s="247">
        <f t="shared" si="51"/>
        <v>100</v>
      </c>
      <c r="L190" s="245">
        <f t="shared" si="77"/>
        <v>0</v>
      </c>
      <c r="M190" s="245">
        <f t="shared" si="77"/>
        <v>1</v>
      </c>
      <c r="N190" s="245">
        <f t="shared" si="77"/>
        <v>1</v>
      </c>
      <c r="O190" s="245">
        <f t="shared" si="77"/>
        <v>1</v>
      </c>
      <c r="P190" s="245">
        <f t="shared" si="77"/>
        <v>0</v>
      </c>
      <c r="Q190" s="248">
        <f t="shared" si="77"/>
        <v>0</v>
      </c>
      <c r="R190" s="249">
        <f t="shared" si="52"/>
        <v>0.29411764705882354</v>
      </c>
      <c r="S190" s="245">
        <f>SUM(S186,S188)</f>
        <v>0</v>
      </c>
      <c r="T190" s="250">
        <f>S190/F190</f>
        <v>0</v>
      </c>
      <c r="U190" s="246">
        <f t="shared" si="60"/>
        <v>33.33333333333333</v>
      </c>
      <c r="V190" s="245">
        <f>SUM(V186,V188)</f>
        <v>76</v>
      </c>
      <c r="W190" s="251">
        <f t="shared" si="53"/>
        <v>22.35294117647059</v>
      </c>
    </row>
    <row r="191" spans="1:23" ht="9.75" customHeight="1">
      <c r="A191" s="297" t="s">
        <v>25</v>
      </c>
      <c r="B191" s="41" t="s">
        <v>96</v>
      </c>
      <c r="C191" s="111">
        <v>27894</v>
      </c>
      <c r="D191" s="111">
        <v>11677</v>
      </c>
      <c r="E191" s="121">
        <f>D191/C191*100</f>
        <v>41.86204918620492</v>
      </c>
      <c r="F191" s="122">
        <v>2862</v>
      </c>
      <c r="G191" s="113">
        <f t="shared" si="50"/>
        <v>24.50971996231909</v>
      </c>
      <c r="H191" s="111">
        <f t="shared" si="57"/>
        <v>88</v>
      </c>
      <c r="I191" s="123">
        <f t="shared" si="58"/>
        <v>3.0747728860936405</v>
      </c>
      <c r="J191" s="111">
        <f t="shared" si="59"/>
        <v>69</v>
      </c>
      <c r="K191" s="123">
        <f t="shared" si="51"/>
        <v>78.4090909090909</v>
      </c>
      <c r="L191" s="111">
        <v>32</v>
      </c>
      <c r="M191" s="111">
        <v>2</v>
      </c>
      <c r="N191" s="111">
        <v>2</v>
      </c>
      <c r="O191" s="111">
        <v>33</v>
      </c>
      <c r="P191" s="111">
        <v>0</v>
      </c>
      <c r="Q191" s="124">
        <v>19</v>
      </c>
      <c r="R191" s="112">
        <f t="shared" si="52"/>
        <v>0.06988120195667365</v>
      </c>
      <c r="S191" s="205">
        <v>0</v>
      </c>
      <c r="T191" s="112">
        <f>S191/F191*100</f>
        <v>0</v>
      </c>
      <c r="U191" s="113">
        <f t="shared" si="60"/>
        <v>2.898550724637681</v>
      </c>
      <c r="V191" s="111">
        <v>821</v>
      </c>
      <c r="W191" s="114">
        <f t="shared" si="53"/>
        <v>28.686233403214533</v>
      </c>
    </row>
    <row r="192" spans="1:23" ht="9.75" customHeight="1">
      <c r="A192" s="298"/>
      <c r="B192" s="42" t="s">
        <v>99</v>
      </c>
      <c r="C192" s="258"/>
      <c r="D192" s="258"/>
      <c r="E192" s="264"/>
      <c r="F192" s="107">
        <v>0</v>
      </c>
      <c r="G192" s="270"/>
      <c r="H192" s="26">
        <f t="shared" si="57"/>
        <v>0</v>
      </c>
      <c r="I192" s="29" t="e">
        <f t="shared" si="58"/>
        <v>#DIV/0!</v>
      </c>
      <c r="J192" s="26">
        <f t="shared" si="59"/>
        <v>0</v>
      </c>
      <c r="K192" s="29" t="e">
        <f t="shared" si="51"/>
        <v>#DIV/0!</v>
      </c>
      <c r="L192" s="26">
        <v>0</v>
      </c>
      <c r="M192" s="26">
        <v>0</v>
      </c>
      <c r="N192" s="26">
        <v>0</v>
      </c>
      <c r="O192" s="26">
        <v>0</v>
      </c>
      <c r="P192" s="26">
        <v>0</v>
      </c>
      <c r="Q192" s="30">
        <v>0</v>
      </c>
      <c r="R192" s="31" t="e">
        <f t="shared" si="52"/>
        <v>#DIV/0!</v>
      </c>
      <c r="S192" s="206">
        <v>0</v>
      </c>
      <c r="T192" s="168" t="e">
        <f>S192/F192*100</f>
        <v>#DIV/0!</v>
      </c>
      <c r="U192" s="27" t="e">
        <f t="shared" si="60"/>
        <v>#DIV/0!</v>
      </c>
      <c r="V192" s="26">
        <v>0</v>
      </c>
      <c r="W192" s="32" t="e">
        <f t="shared" si="53"/>
        <v>#DIV/0!</v>
      </c>
    </row>
    <row r="193" spans="1:23" ht="9.75" customHeight="1">
      <c r="A193" s="298"/>
      <c r="B193" s="42" t="s">
        <v>97</v>
      </c>
      <c r="C193" s="26">
        <v>33480</v>
      </c>
      <c r="D193" s="26">
        <v>20638</v>
      </c>
      <c r="E193" s="121">
        <f>D193/C193*100</f>
        <v>61.64277180406212</v>
      </c>
      <c r="F193" s="107">
        <v>5139</v>
      </c>
      <c r="G193" s="27">
        <f t="shared" si="50"/>
        <v>24.900668669444713</v>
      </c>
      <c r="H193" s="26">
        <f t="shared" si="57"/>
        <v>103</v>
      </c>
      <c r="I193" s="29">
        <f t="shared" si="58"/>
        <v>2.004280988519167</v>
      </c>
      <c r="J193" s="26">
        <f t="shared" si="59"/>
        <v>91</v>
      </c>
      <c r="K193" s="29">
        <f t="shared" si="51"/>
        <v>88.3495145631068</v>
      </c>
      <c r="L193" s="26">
        <v>53</v>
      </c>
      <c r="M193" s="26">
        <v>0</v>
      </c>
      <c r="N193" s="26">
        <v>3</v>
      </c>
      <c r="O193" s="26">
        <v>35</v>
      </c>
      <c r="P193" s="26">
        <v>0</v>
      </c>
      <c r="Q193" s="30">
        <v>12</v>
      </c>
      <c r="R193" s="31">
        <f t="shared" si="52"/>
        <v>0</v>
      </c>
      <c r="S193" s="206">
        <v>0</v>
      </c>
      <c r="T193" s="168">
        <f>S193/F193*100</f>
        <v>0</v>
      </c>
      <c r="U193" s="27">
        <f t="shared" si="60"/>
        <v>0</v>
      </c>
      <c r="V193" s="26">
        <v>1475</v>
      </c>
      <c r="W193" s="32">
        <f t="shared" si="53"/>
        <v>28.702082117143412</v>
      </c>
    </row>
    <row r="194" spans="1:23" ht="9.75" customHeight="1">
      <c r="A194" s="298"/>
      <c r="B194" s="41" t="s">
        <v>98</v>
      </c>
      <c r="C194" s="260"/>
      <c r="D194" s="260"/>
      <c r="E194" s="265"/>
      <c r="F194" s="108">
        <v>0</v>
      </c>
      <c r="G194" s="271"/>
      <c r="H194" s="105">
        <f t="shared" si="57"/>
        <v>0</v>
      </c>
      <c r="I194" s="106" t="e">
        <f t="shared" si="58"/>
        <v>#DIV/0!</v>
      </c>
      <c r="J194" s="105">
        <f t="shared" si="59"/>
        <v>0</v>
      </c>
      <c r="K194" s="106" t="e">
        <f t="shared" si="51"/>
        <v>#DIV/0!</v>
      </c>
      <c r="L194" s="105">
        <v>0</v>
      </c>
      <c r="M194" s="105">
        <v>0</v>
      </c>
      <c r="N194" s="105">
        <v>0</v>
      </c>
      <c r="O194" s="105">
        <v>0</v>
      </c>
      <c r="P194" s="105">
        <v>0</v>
      </c>
      <c r="Q194" s="115">
        <v>0</v>
      </c>
      <c r="R194" s="116" t="e">
        <f t="shared" si="52"/>
        <v>#DIV/0!</v>
      </c>
      <c r="S194" s="207">
        <v>0</v>
      </c>
      <c r="T194" s="208" t="e">
        <f>S194/F194*100</f>
        <v>#DIV/0!</v>
      </c>
      <c r="U194" s="104" t="e">
        <f t="shared" si="60"/>
        <v>#DIV/0!</v>
      </c>
      <c r="V194" s="105">
        <v>0</v>
      </c>
      <c r="W194" s="117" t="e">
        <f t="shared" si="53"/>
        <v>#DIV/0!</v>
      </c>
    </row>
    <row r="195" spans="1:23" ht="9.75" customHeight="1">
      <c r="A195" s="298"/>
      <c r="B195" s="209" t="s">
        <v>111</v>
      </c>
      <c r="C195" s="210">
        <f>SUM(C191,C193)</f>
        <v>61374</v>
      </c>
      <c r="D195" s="210">
        <f>SUM(D191,D193)</f>
        <v>32315</v>
      </c>
      <c r="E195" s="211">
        <f>D195/C195*100</f>
        <v>52.652589044220676</v>
      </c>
      <c r="F195" s="210">
        <f>SUM(F191,F193)</f>
        <v>8001</v>
      </c>
      <c r="G195" s="212">
        <f t="shared" si="50"/>
        <v>24.759399659600806</v>
      </c>
      <c r="H195" s="210">
        <f t="shared" si="57"/>
        <v>191</v>
      </c>
      <c r="I195" s="56">
        <f t="shared" si="58"/>
        <v>2.387201599800025</v>
      </c>
      <c r="J195" s="210">
        <f t="shared" si="59"/>
        <v>160</v>
      </c>
      <c r="K195" s="56">
        <f t="shared" si="51"/>
        <v>83.7696335078534</v>
      </c>
      <c r="L195" s="210">
        <f aca="true" t="shared" si="78" ref="L195:Q196">SUM(L191,L193)</f>
        <v>85</v>
      </c>
      <c r="M195" s="210">
        <f t="shared" si="78"/>
        <v>2</v>
      </c>
      <c r="N195" s="210">
        <f t="shared" si="78"/>
        <v>5</v>
      </c>
      <c r="O195" s="210">
        <f t="shared" si="78"/>
        <v>68</v>
      </c>
      <c r="P195" s="210">
        <f t="shared" si="78"/>
        <v>0</v>
      </c>
      <c r="Q195" s="213">
        <f t="shared" si="78"/>
        <v>31</v>
      </c>
      <c r="R195" s="214">
        <f t="shared" si="52"/>
        <v>0.024996875390576177</v>
      </c>
      <c r="S195" s="210">
        <f>SUM(S191,S193)</f>
        <v>0</v>
      </c>
      <c r="T195" s="216">
        <f>S195/F195*100</f>
        <v>0</v>
      </c>
      <c r="U195" s="212">
        <f t="shared" si="60"/>
        <v>1.25</v>
      </c>
      <c r="V195" s="210">
        <f>SUM(V191,V193)</f>
        <v>2296</v>
      </c>
      <c r="W195" s="227">
        <f t="shared" si="53"/>
        <v>28.69641294838145</v>
      </c>
    </row>
    <row r="196" spans="1:23" ht="9.75" customHeight="1">
      <c r="A196" s="298"/>
      <c r="B196" s="217" t="s">
        <v>112</v>
      </c>
      <c r="C196" s="266"/>
      <c r="D196" s="266"/>
      <c r="E196" s="268"/>
      <c r="F196" s="218">
        <f>SUM(F192,F194)</f>
        <v>0</v>
      </c>
      <c r="G196" s="273"/>
      <c r="H196" s="218">
        <f t="shared" si="57"/>
        <v>0</v>
      </c>
      <c r="I196" s="220" t="e">
        <f t="shared" si="58"/>
        <v>#DIV/0!</v>
      </c>
      <c r="J196" s="218">
        <f t="shared" si="59"/>
        <v>0</v>
      </c>
      <c r="K196" s="220" t="e">
        <f t="shared" si="51"/>
        <v>#DIV/0!</v>
      </c>
      <c r="L196" s="218">
        <f t="shared" si="78"/>
        <v>0</v>
      </c>
      <c r="M196" s="218">
        <f t="shared" si="78"/>
        <v>0</v>
      </c>
      <c r="N196" s="218">
        <f t="shared" si="78"/>
        <v>0</v>
      </c>
      <c r="O196" s="218">
        <f t="shared" si="78"/>
        <v>0</v>
      </c>
      <c r="P196" s="218">
        <f t="shared" si="78"/>
        <v>0</v>
      </c>
      <c r="Q196" s="221">
        <f t="shared" si="78"/>
        <v>0</v>
      </c>
      <c r="R196" s="222" t="e">
        <f t="shared" si="52"/>
        <v>#DIV/0!</v>
      </c>
      <c r="S196" s="218">
        <f>SUM(S192,S194)</f>
        <v>0</v>
      </c>
      <c r="T196" s="169" t="e">
        <f>S196/F196</f>
        <v>#DIV/0!</v>
      </c>
      <c r="U196" s="219" t="e">
        <f t="shared" si="60"/>
        <v>#DIV/0!</v>
      </c>
      <c r="V196" s="218">
        <f>SUM(V192,V194)</f>
        <v>0</v>
      </c>
      <c r="W196" s="338" t="e">
        <f t="shared" si="53"/>
        <v>#DIV/0!</v>
      </c>
    </row>
    <row r="197" spans="1:23" ht="9.75" customHeight="1">
      <c r="A197" s="298" t="s">
        <v>26</v>
      </c>
      <c r="B197" s="41" t="s">
        <v>96</v>
      </c>
      <c r="C197" s="111">
        <v>4248</v>
      </c>
      <c r="D197" s="111">
        <v>2128</v>
      </c>
      <c r="E197" s="121">
        <f>D197/C197*100</f>
        <v>50.09416195856874</v>
      </c>
      <c r="F197" s="122">
        <v>745</v>
      </c>
      <c r="G197" s="113">
        <f aca="true" t="shared" si="79" ref="G197:G249">F197/D197*100</f>
        <v>35.0093984962406</v>
      </c>
      <c r="H197" s="111">
        <f t="shared" si="57"/>
        <v>21</v>
      </c>
      <c r="I197" s="123">
        <f t="shared" si="58"/>
        <v>2.8187919463087248</v>
      </c>
      <c r="J197" s="111">
        <f t="shared" si="59"/>
        <v>16</v>
      </c>
      <c r="K197" s="123">
        <f aca="true" t="shared" si="80" ref="K197:K250">J197/H197*100</f>
        <v>76.19047619047619</v>
      </c>
      <c r="L197" s="111">
        <v>6</v>
      </c>
      <c r="M197" s="111">
        <v>2</v>
      </c>
      <c r="N197" s="111">
        <v>0</v>
      </c>
      <c r="O197" s="111">
        <v>8</v>
      </c>
      <c r="P197" s="111">
        <v>1</v>
      </c>
      <c r="Q197" s="124">
        <v>4</v>
      </c>
      <c r="R197" s="112">
        <f aca="true" t="shared" si="81" ref="R197:R250">M197/F197*100</f>
        <v>0.2684563758389262</v>
      </c>
      <c r="S197" s="205">
        <v>0</v>
      </c>
      <c r="T197" s="112">
        <f>S197/F197*100</f>
        <v>0</v>
      </c>
      <c r="U197" s="113">
        <f t="shared" si="60"/>
        <v>12.5</v>
      </c>
      <c r="V197" s="111">
        <v>90</v>
      </c>
      <c r="W197" s="114">
        <f aca="true" t="shared" si="82" ref="W197:W250">V197/F197*100</f>
        <v>12.080536912751679</v>
      </c>
    </row>
    <row r="198" spans="1:23" ht="9.75" customHeight="1">
      <c r="A198" s="298"/>
      <c r="B198" s="42" t="s">
        <v>99</v>
      </c>
      <c r="C198" s="258"/>
      <c r="D198" s="258"/>
      <c r="E198" s="264"/>
      <c r="F198" s="107">
        <v>93</v>
      </c>
      <c r="G198" s="270"/>
      <c r="H198" s="26">
        <f t="shared" si="57"/>
        <v>0</v>
      </c>
      <c r="I198" s="29">
        <f t="shared" si="58"/>
        <v>0</v>
      </c>
      <c r="J198" s="26">
        <f t="shared" si="59"/>
        <v>0</v>
      </c>
      <c r="K198" s="29" t="e">
        <f t="shared" si="80"/>
        <v>#DIV/0!</v>
      </c>
      <c r="L198" s="26">
        <v>0</v>
      </c>
      <c r="M198" s="26">
        <v>0</v>
      </c>
      <c r="N198" s="26">
        <v>0</v>
      </c>
      <c r="O198" s="26">
        <v>0</v>
      </c>
      <c r="P198" s="26">
        <v>0</v>
      </c>
      <c r="Q198" s="30">
        <v>0</v>
      </c>
      <c r="R198" s="31">
        <f t="shared" si="81"/>
        <v>0</v>
      </c>
      <c r="S198" s="206">
        <v>0</v>
      </c>
      <c r="T198" s="168">
        <f>S198/F198*100</f>
        <v>0</v>
      </c>
      <c r="U198" s="27" t="e">
        <f t="shared" si="60"/>
        <v>#DIV/0!</v>
      </c>
      <c r="V198" s="26">
        <v>39</v>
      </c>
      <c r="W198" s="32">
        <f t="shared" si="82"/>
        <v>41.935483870967744</v>
      </c>
    </row>
    <row r="199" spans="1:23" ht="9.75" customHeight="1">
      <c r="A199" s="298"/>
      <c r="B199" s="42" t="s">
        <v>97</v>
      </c>
      <c r="C199" s="26">
        <v>5101</v>
      </c>
      <c r="D199" s="26">
        <v>3270</v>
      </c>
      <c r="E199" s="121">
        <f>D199/C199*100</f>
        <v>64.1050774357969</v>
      </c>
      <c r="F199" s="107">
        <v>1111</v>
      </c>
      <c r="G199" s="27">
        <f t="shared" si="79"/>
        <v>33.97553516819572</v>
      </c>
      <c r="H199" s="26">
        <f t="shared" si="57"/>
        <v>21</v>
      </c>
      <c r="I199" s="29">
        <f t="shared" si="58"/>
        <v>1.8901890189018902</v>
      </c>
      <c r="J199" s="26">
        <f t="shared" si="59"/>
        <v>20</v>
      </c>
      <c r="K199" s="29">
        <f t="shared" si="80"/>
        <v>95.23809523809523</v>
      </c>
      <c r="L199" s="26">
        <v>8</v>
      </c>
      <c r="M199" s="26">
        <v>0</v>
      </c>
      <c r="N199" s="26">
        <v>0</v>
      </c>
      <c r="O199" s="26">
        <v>12</v>
      </c>
      <c r="P199" s="26">
        <v>0</v>
      </c>
      <c r="Q199" s="30">
        <v>1</v>
      </c>
      <c r="R199" s="31">
        <f t="shared" si="81"/>
        <v>0</v>
      </c>
      <c r="S199" s="206">
        <v>0</v>
      </c>
      <c r="T199" s="168">
        <f>S199/F199*100</f>
        <v>0</v>
      </c>
      <c r="U199" s="27">
        <f t="shared" si="60"/>
        <v>0</v>
      </c>
      <c r="V199" s="26">
        <v>104</v>
      </c>
      <c r="W199" s="32">
        <f t="shared" si="82"/>
        <v>9.36093609360936</v>
      </c>
    </row>
    <row r="200" spans="1:23" ht="9.75" customHeight="1">
      <c r="A200" s="298"/>
      <c r="B200" s="41" t="s">
        <v>98</v>
      </c>
      <c r="C200" s="260"/>
      <c r="D200" s="260"/>
      <c r="E200" s="265"/>
      <c r="F200" s="108">
        <v>6</v>
      </c>
      <c r="G200" s="271"/>
      <c r="H200" s="105">
        <f t="shared" si="57"/>
        <v>0</v>
      </c>
      <c r="I200" s="106">
        <f t="shared" si="58"/>
        <v>0</v>
      </c>
      <c r="J200" s="105">
        <f t="shared" si="59"/>
        <v>0</v>
      </c>
      <c r="K200" s="106" t="e">
        <f t="shared" si="80"/>
        <v>#DIV/0!</v>
      </c>
      <c r="L200" s="105">
        <v>0</v>
      </c>
      <c r="M200" s="105">
        <v>0</v>
      </c>
      <c r="N200" s="105">
        <v>0</v>
      </c>
      <c r="O200" s="105">
        <v>0</v>
      </c>
      <c r="P200" s="105">
        <v>0</v>
      </c>
      <c r="Q200" s="115">
        <v>0</v>
      </c>
      <c r="R200" s="116">
        <f t="shared" si="81"/>
        <v>0</v>
      </c>
      <c r="S200" s="207">
        <v>0</v>
      </c>
      <c r="T200" s="208">
        <f>S200/F200*100</f>
        <v>0</v>
      </c>
      <c r="U200" s="104" t="e">
        <f t="shared" si="60"/>
        <v>#DIV/0!</v>
      </c>
      <c r="V200" s="105">
        <v>6</v>
      </c>
      <c r="W200" s="117">
        <f t="shared" si="82"/>
        <v>100</v>
      </c>
    </row>
    <row r="201" spans="1:23" ht="9.75" customHeight="1">
      <c r="A201" s="298"/>
      <c r="B201" s="209" t="s">
        <v>111</v>
      </c>
      <c r="C201" s="210">
        <f>SUM(C197,C199)</f>
        <v>9349</v>
      </c>
      <c r="D201" s="210">
        <f>SUM(D197,D199)</f>
        <v>5398</v>
      </c>
      <c r="E201" s="211">
        <f>D201/C201*100</f>
        <v>57.73879559311156</v>
      </c>
      <c r="F201" s="210">
        <f>SUM(F197,F199)</f>
        <v>1856</v>
      </c>
      <c r="G201" s="212">
        <f t="shared" si="79"/>
        <v>34.3831048536495</v>
      </c>
      <c r="H201" s="210">
        <f t="shared" si="57"/>
        <v>42</v>
      </c>
      <c r="I201" s="56">
        <f t="shared" si="58"/>
        <v>2.2629310344827585</v>
      </c>
      <c r="J201" s="210">
        <f t="shared" si="59"/>
        <v>36</v>
      </c>
      <c r="K201" s="56">
        <f t="shared" si="80"/>
        <v>85.71428571428571</v>
      </c>
      <c r="L201" s="210">
        <f aca="true" t="shared" si="83" ref="L201:Q202">SUM(L197,L199)</f>
        <v>14</v>
      </c>
      <c r="M201" s="210">
        <f t="shared" si="83"/>
        <v>2</v>
      </c>
      <c r="N201" s="210">
        <f t="shared" si="83"/>
        <v>0</v>
      </c>
      <c r="O201" s="210">
        <f t="shared" si="83"/>
        <v>20</v>
      </c>
      <c r="P201" s="210">
        <f t="shared" si="83"/>
        <v>1</v>
      </c>
      <c r="Q201" s="213">
        <f t="shared" si="83"/>
        <v>5</v>
      </c>
      <c r="R201" s="214">
        <f t="shared" si="81"/>
        <v>0.10775862068965517</v>
      </c>
      <c r="S201" s="210">
        <f>SUM(S197,S199)</f>
        <v>0</v>
      </c>
      <c r="T201" s="216">
        <f>S201/F201*100</f>
        <v>0</v>
      </c>
      <c r="U201" s="212">
        <f t="shared" si="60"/>
        <v>5.555555555555555</v>
      </c>
      <c r="V201" s="210">
        <f>SUM(V197,V199)</f>
        <v>194</v>
      </c>
      <c r="W201" s="227">
        <f t="shared" si="82"/>
        <v>10.452586206896552</v>
      </c>
    </row>
    <row r="202" spans="1:23" ht="9.75" customHeight="1">
      <c r="A202" s="298"/>
      <c r="B202" s="217" t="s">
        <v>112</v>
      </c>
      <c r="C202" s="266"/>
      <c r="D202" s="266"/>
      <c r="E202" s="268"/>
      <c r="F202" s="218">
        <f>SUM(F198,F200)</f>
        <v>99</v>
      </c>
      <c r="G202" s="273"/>
      <c r="H202" s="218">
        <f t="shared" si="57"/>
        <v>0</v>
      </c>
      <c r="I202" s="220">
        <f t="shared" si="58"/>
        <v>0</v>
      </c>
      <c r="J202" s="218">
        <f t="shared" si="59"/>
        <v>0</v>
      </c>
      <c r="K202" s="220" t="e">
        <f t="shared" si="80"/>
        <v>#DIV/0!</v>
      </c>
      <c r="L202" s="218">
        <f t="shared" si="83"/>
        <v>0</v>
      </c>
      <c r="M202" s="218">
        <f t="shared" si="83"/>
        <v>0</v>
      </c>
      <c r="N202" s="218">
        <f t="shared" si="83"/>
        <v>0</v>
      </c>
      <c r="O202" s="218">
        <f t="shared" si="83"/>
        <v>0</v>
      </c>
      <c r="P202" s="218">
        <f t="shared" si="83"/>
        <v>0</v>
      </c>
      <c r="Q202" s="221">
        <f t="shared" si="83"/>
        <v>0</v>
      </c>
      <c r="R202" s="222">
        <f t="shared" si="81"/>
        <v>0</v>
      </c>
      <c r="S202" s="218">
        <f>SUM(S198,S200)</f>
        <v>0</v>
      </c>
      <c r="T202" s="169">
        <f>S202/F202</f>
        <v>0</v>
      </c>
      <c r="U202" s="219" t="e">
        <f t="shared" si="60"/>
        <v>#DIV/0!</v>
      </c>
      <c r="V202" s="218">
        <f>SUM(V198,V200)</f>
        <v>45</v>
      </c>
      <c r="W202" s="338">
        <f t="shared" si="82"/>
        <v>45.45454545454545</v>
      </c>
    </row>
    <row r="203" spans="1:23" ht="9.75" customHeight="1">
      <c r="A203" s="298" t="s">
        <v>27</v>
      </c>
      <c r="B203" s="41" t="s">
        <v>96</v>
      </c>
      <c r="C203" s="111">
        <v>1844</v>
      </c>
      <c r="D203" s="111">
        <v>623</v>
      </c>
      <c r="E203" s="121">
        <f>D203/C203*100</f>
        <v>33.78524945770065</v>
      </c>
      <c r="F203" s="122">
        <v>476</v>
      </c>
      <c r="G203" s="113">
        <f t="shared" si="79"/>
        <v>76.40449438202246</v>
      </c>
      <c r="H203" s="111">
        <f t="shared" si="57"/>
        <v>17</v>
      </c>
      <c r="I203" s="123">
        <f t="shared" si="58"/>
        <v>3.571428571428571</v>
      </c>
      <c r="J203" s="111">
        <f t="shared" si="59"/>
        <v>15</v>
      </c>
      <c r="K203" s="123">
        <f t="shared" si="80"/>
        <v>88.23529411764706</v>
      </c>
      <c r="L203" s="111">
        <v>7</v>
      </c>
      <c r="M203" s="111">
        <v>1</v>
      </c>
      <c r="N203" s="111">
        <v>1</v>
      </c>
      <c r="O203" s="111">
        <v>6</v>
      </c>
      <c r="P203" s="111">
        <v>0</v>
      </c>
      <c r="Q203" s="124">
        <v>2</v>
      </c>
      <c r="R203" s="112">
        <f t="shared" si="81"/>
        <v>0.21008403361344538</v>
      </c>
      <c r="S203" s="205">
        <v>0</v>
      </c>
      <c r="T203" s="112">
        <f>S203/F203*100</f>
        <v>0</v>
      </c>
      <c r="U203" s="113">
        <f t="shared" si="60"/>
        <v>6.666666666666667</v>
      </c>
      <c r="V203" s="111">
        <v>45</v>
      </c>
      <c r="W203" s="114">
        <f t="shared" si="82"/>
        <v>9.453781512605042</v>
      </c>
    </row>
    <row r="204" spans="1:23" ht="9.75" customHeight="1">
      <c r="A204" s="298"/>
      <c r="B204" s="42" t="s">
        <v>99</v>
      </c>
      <c r="C204" s="258"/>
      <c r="D204" s="258"/>
      <c r="E204" s="264"/>
      <c r="F204" s="107">
        <v>35</v>
      </c>
      <c r="G204" s="270"/>
      <c r="H204" s="26">
        <f t="shared" si="57"/>
        <v>0</v>
      </c>
      <c r="I204" s="29">
        <f t="shared" si="58"/>
        <v>0</v>
      </c>
      <c r="J204" s="26">
        <f t="shared" si="59"/>
        <v>0</v>
      </c>
      <c r="K204" s="29" t="e">
        <f t="shared" si="80"/>
        <v>#DIV/0!</v>
      </c>
      <c r="L204" s="26">
        <v>0</v>
      </c>
      <c r="M204" s="26">
        <v>0</v>
      </c>
      <c r="N204" s="26">
        <v>0</v>
      </c>
      <c r="O204" s="26">
        <v>0</v>
      </c>
      <c r="P204" s="26">
        <v>0</v>
      </c>
      <c r="Q204" s="30">
        <v>0</v>
      </c>
      <c r="R204" s="31">
        <f t="shared" si="81"/>
        <v>0</v>
      </c>
      <c r="S204" s="206">
        <v>0</v>
      </c>
      <c r="T204" s="168">
        <f>S204/F204*100</f>
        <v>0</v>
      </c>
      <c r="U204" s="27" t="e">
        <f t="shared" si="60"/>
        <v>#DIV/0!</v>
      </c>
      <c r="V204" s="26">
        <v>6</v>
      </c>
      <c r="W204" s="32">
        <f t="shared" si="82"/>
        <v>17.142857142857142</v>
      </c>
    </row>
    <row r="205" spans="1:23" ht="9.75" customHeight="1">
      <c r="A205" s="298"/>
      <c r="B205" s="42" t="s">
        <v>97</v>
      </c>
      <c r="C205" s="26">
        <v>2091</v>
      </c>
      <c r="D205" s="26">
        <v>765</v>
      </c>
      <c r="E205" s="121">
        <f>D205/C205*100</f>
        <v>36.58536585365854</v>
      </c>
      <c r="F205" s="107">
        <v>616</v>
      </c>
      <c r="G205" s="27">
        <f t="shared" si="79"/>
        <v>80.52287581699346</v>
      </c>
      <c r="H205" s="26">
        <f t="shared" si="57"/>
        <v>17</v>
      </c>
      <c r="I205" s="29">
        <f t="shared" si="58"/>
        <v>2.75974025974026</v>
      </c>
      <c r="J205" s="26">
        <f t="shared" si="59"/>
        <v>16</v>
      </c>
      <c r="K205" s="29">
        <f t="shared" si="80"/>
        <v>94.11764705882352</v>
      </c>
      <c r="L205" s="26">
        <v>6</v>
      </c>
      <c r="M205" s="26">
        <v>0</v>
      </c>
      <c r="N205" s="26">
        <v>1</v>
      </c>
      <c r="O205" s="26">
        <v>9</v>
      </c>
      <c r="P205" s="26">
        <v>0</v>
      </c>
      <c r="Q205" s="30">
        <v>1</v>
      </c>
      <c r="R205" s="31">
        <f t="shared" si="81"/>
        <v>0</v>
      </c>
      <c r="S205" s="206">
        <v>0</v>
      </c>
      <c r="T205" s="168">
        <f>S205/F205*100</f>
        <v>0</v>
      </c>
      <c r="U205" s="27">
        <f t="shared" si="60"/>
        <v>0</v>
      </c>
      <c r="V205" s="26">
        <v>33</v>
      </c>
      <c r="W205" s="32">
        <f t="shared" si="82"/>
        <v>5.357142857142857</v>
      </c>
    </row>
    <row r="206" spans="1:23" ht="9.75" customHeight="1">
      <c r="A206" s="298"/>
      <c r="B206" s="41" t="s">
        <v>98</v>
      </c>
      <c r="C206" s="260"/>
      <c r="D206" s="260"/>
      <c r="E206" s="265"/>
      <c r="F206" s="108">
        <v>2</v>
      </c>
      <c r="G206" s="271"/>
      <c r="H206" s="105">
        <f t="shared" si="57"/>
        <v>0</v>
      </c>
      <c r="I206" s="106">
        <f t="shared" si="58"/>
        <v>0</v>
      </c>
      <c r="J206" s="105">
        <f t="shared" si="59"/>
        <v>0</v>
      </c>
      <c r="K206" s="106" t="e">
        <f t="shared" si="80"/>
        <v>#DIV/0!</v>
      </c>
      <c r="L206" s="105">
        <v>0</v>
      </c>
      <c r="M206" s="105">
        <v>0</v>
      </c>
      <c r="N206" s="105">
        <v>0</v>
      </c>
      <c r="O206" s="105">
        <v>0</v>
      </c>
      <c r="P206" s="105">
        <v>0</v>
      </c>
      <c r="Q206" s="115">
        <v>0</v>
      </c>
      <c r="R206" s="116">
        <f t="shared" si="81"/>
        <v>0</v>
      </c>
      <c r="S206" s="207">
        <v>0</v>
      </c>
      <c r="T206" s="208">
        <f>S206/F206*100</f>
        <v>0</v>
      </c>
      <c r="U206" s="104" t="e">
        <f t="shared" si="60"/>
        <v>#DIV/0!</v>
      </c>
      <c r="V206" s="105">
        <v>0</v>
      </c>
      <c r="W206" s="117">
        <f t="shared" si="82"/>
        <v>0</v>
      </c>
    </row>
    <row r="207" spans="1:23" ht="9.75" customHeight="1">
      <c r="A207" s="298"/>
      <c r="B207" s="209" t="s">
        <v>111</v>
      </c>
      <c r="C207" s="210">
        <f>SUM(C203,C205)</f>
        <v>3935</v>
      </c>
      <c r="D207" s="210">
        <f>SUM(D203,D205)</f>
        <v>1388</v>
      </c>
      <c r="E207" s="211">
        <f>D207/C207*100</f>
        <v>35.27318932655654</v>
      </c>
      <c r="F207" s="210">
        <f>SUM(F203,F205)</f>
        <v>1092</v>
      </c>
      <c r="G207" s="212">
        <f t="shared" si="79"/>
        <v>78.6743515850144</v>
      </c>
      <c r="H207" s="210">
        <f t="shared" si="57"/>
        <v>34</v>
      </c>
      <c r="I207" s="56">
        <f t="shared" si="58"/>
        <v>3.1135531135531136</v>
      </c>
      <c r="J207" s="210">
        <f t="shared" si="59"/>
        <v>31</v>
      </c>
      <c r="K207" s="56">
        <f t="shared" si="80"/>
        <v>91.17647058823529</v>
      </c>
      <c r="L207" s="210">
        <f aca="true" t="shared" si="84" ref="L207:Q208">SUM(L203,L205)</f>
        <v>13</v>
      </c>
      <c r="M207" s="210">
        <f t="shared" si="84"/>
        <v>1</v>
      </c>
      <c r="N207" s="210">
        <f t="shared" si="84"/>
        <v>2</v>
      </c>
      <c r="O207" s="210">
        <f t="shared" si="84"/>
        <v>15</v>
      </c>
      <c r="P207" s="210">
        <f t="shared" si="84"/>
        <v>0</v>
      </c>
      <c r="Q207" s="213">
        <f t="shared" si="84"/>
        <v>3</v>
      </c>
      <c r="R207" s="214">
        <f t="shared" si="81"/>
        <v>0.09157509157509157</v>
      </c>
      <c r="S207" s="210">
        <f>SUM(S203,S205)</f>
        <v>0</v>
      </c>
      <c r="T207" s="216">
        <f>S207/F207*100</f>
        <v>0</v>
      </c>
      <c r="U207" s="212">
        <f t="shared" si="60"/>
        <v>3.225806451612903</v>
      </c>
      <c r="V207" s="210">
        <f>SUM(V203,V205)</f>
        <v>78</v>
      </c>
      <c r="W207" s="227">
        <f t="shared" si="82"/>
        <v>7.142857142857142</v>
      </c>
    </row>
    <row r="208" spans="1:23" ht="9.75" customHeight="1">
      <c r="A208" s="298"/>
      <c r="B208" s="217" t="s">
        <v>112</v>
      </c>
      <c r="C208" s="266"/>
      <c r="D208" s="266"/>
      <c r="E208" s="268"/>
      <c r="F208" s="218">
        <f>SUM(F204,F206)</f>
        <v>37</v>
      </c>
      <c r="G208" s="273"/>
      <c r="H208" s="218">
        <f t="shared" si="57"/>
        <v>0</v>
      </c>
      <c r="I208" s="220">
        <f t="shared" si="58"/>
        <v>0</v>
      </c>
      <c r="J208" s="218">
        <f t="shared" si="59"/>
        <v>0</v>
      </c>
      <c r="K208" s="220" t="e">
        <f t="shared" si="80"/>
        <v>#DIV/0!</v>
      </c>
      <c r="L208" s="218">
        <f t="shared" si="84"/>
        <v>0</v>
      </c>
      <c r="M208" s="218">
        <f t="shared" si="84"/>
        <v>0</v>
      </c>
      <c r="N208" s="218">
        <f t="shared" si="84"/>
        <v>0</v>
      </c>
      <c r="O208" s="218">
        <f t="shared" si="84"/>
        <v>0</v>
      </c>
      <c r="P208" s="218">
        <f t="shared" si="84"/>
        <v>0</v>
      </c>
      <c r="Q208" s="221">
        <f t="shared" si="84"/>
        <v>0</v>
      </c>
      <c r="R208" s="222">
        <f t="shared" si="81"/>
        <v>0</v>
      </c>
      <c r="S208" s="218">
        <f>SUM(S204,S206)</f>
        <v>0</v>
      </c>
      <c r="T208" s="169">
        <f>S208/F208</f>
        <v>0</v>
      </c>
      <c r="U208" s="219" t="e">
        <f t="shared" si="60"/>
        <v>#DIV/0!</v>
      </c>
      <c r="V208" s="218">
        <f>SUM(V204,V206)</f>
        <v>6</v>
      </c>
      <c r="W208" s="338">
        <f t="shared" si="82"/>
        <v>16.216216216216218</v>
      </c>
    </row>
    <row r="209" spans="1:23" ht="9.75" customHeight="1">
      <c r="A209" s="298" t="s">
        <v>28</v>
      </c>
      <c r="B209" s="41" t="s">
        <v>96</v>
      </c>
      <c r="C209" s="111">
        <v>4915</v>
      </c>
      <c r="D209" s="111">
        <v>1270</v>
      </c>
      <c r="E209" s="121">
        <f aca="true" t="shared" si="85" ref="E209:E249">D209/C209*100</f>
        <v>25.839267548321466</v>
      </c>
      <c r="F209" s="122">
        <v>1062</v>
      </c>
      <c r="G209" s="113">
        <f t="shared" si="79"/>
        <v>83.62204724409449</v>
      </c>
      <c r="H209" s="111">
        <f aca="true" t="shared" si="86" ref="H209:H250">SUM(L209:Q209)</f>
        <v>47</v>
      </c>
      <c r="I209" s="123">
        <f aca="true" t="shared" si="87" ref="I209:I250">H209/F209*100</f>
        <v>4.425612052730696</v>
      </c>
      <c r="J209" s="111">
        <f aca="true" t="shared" si="88" ref="J209:J250">SUM(L209:O209)</f>
        <v>34</v>
      </c>
      <c r="K209" s="123">
        <f t="shared" si="80"/>
        <v>72.3404255319149</v>
      </c>
      <c r="L209" s="111">
        <v>9</v>
      </c>
      <c r="M209" s="111">
        <v>1</v>
      </c>
      <c r="N209" s="111">
        <v>1</v>
      </c>
      <c r="O209" s="111">
        <v>23</v>
      </c>
      <c r="P209" s="111">
        <v>0</v>
      </c>
      <c r="Q209" s="124">
        <v>13</v>
      </c>
      <c r="R209" s="112">
        <f t="shared" si="81"/>
        <v>0.09416195856873823</v>
      </c>
      <c r="S209" s="205">
        <v>1</v>
      </c>
      <c r="T209" s="112">
        <f>S209/F209*100</f>
        <v>0.09416195856873823</v>
      </c>
      <c r="U209" s="113">
        <f aca="true" t="shared" si="89" ref="U209:U250">M209/J209*100</f>
        <v>2.941176470588235</v>
      </c>
      <c r="V209" s="111">
        <v>122</v>
      </c>
      <c r="W209" s="114">
        <f t="shared" si="82"/>
        <v>11.487758945386064</v>
      </c>
    </row>
    <row r="210" spans="1:23" ht="9.75" customHeight="1">
      <c r="A210" s="298"/>
      <c r="B210" s="42" t="s">
        <v>99</v>
      </c>
      <c r="C210" s="258"/>
      <c r="D210" s="258"/>
      <c r="E210" s="264"/>
      <c r="F210" s="107">
        <v>121</v>
      </c>
      <c r="G210" s="270"/>
      <c r="H210" s="26">
        <f t="shared" si="86"/>
        <v>4</v>
      </c>
      <c r="I210" s="29">
        <f t="shared" si="87"/>
        <v>3.3057851239669422</v>
      </c>
      <c r="J210" s="26">
        <f t="shared" si="88"/>
        <v>3</v>
      </c>
      <c r="K210" s="29">
        <f t="shared" si="80"/>
        <v>75</v>
      </c>
      <c r="L210" s="26">
        <v>1</v>
      </c>
      <c r="M210" s="26">
        <v>0</v>
      </c>
      <c r="N210" s="26">
        <v>0</v>
      </c>
      <c r="O210" s="26">
        <v>2</v>
      </c>
      <c r="P210" s="26">
        <v>0</v>
      </c>
      <c r="Q210" s="30">
        <v>1</v>
      </c>
      <c r="R210" s="31">
        <f t="shared" si="81"/>
        <v>0</v>
      </c>
      <c r="S210" s="206">
        <v>0</v>
      </c>
      <c r="T210" s="168">
        <f>S210/F210*100</f>
        <v>0</v>
      </c>
      <c r="U210" s="27">
        <f t="shared" si="89"/>
        <v>0</v>
      </c>
      <c r="V210" s="26">
        <v>42</v>
      </c>
      <c r="W210" s="32">
        <f t="shared" si="82"/>
        <v>34.710743801652896</v>
      </c>
    </row>
    <row r="211" spans="1:23" ht="9.75" customHeight="1">
      <c r="A211" s="298"/>
      <c r="B211" s="42" t="s">
        <v>97</v>
      </c>
      <c r="C211" s="26">
        <v>5915</v>
      </c>
      <c r="D211" s="26">
        <v>1906</v>
      </c>
      <c r="E211" s="121">
        <f t="shared" si="85"/>
        <v>32.22316145393068</v>
      </c>
      <c r="F211" s="107">
        <v>1674</v>
      </c>
      <c r="G211" s="27">
        <f t="shared" si="79"/>
        <v>87.82791185729276</v>
      </c>
      <c r="H211" s="26">
        <f t="shared" si="86"/>
        <v>82</v>
      </c>
      <c r="I211" s="29">
        <f t="shared" si="87"/>
        <v>4.898446833930705</v>
      </c>
      <c r="J211" s="26">
        <f t="shared" si="88"/>
        <v>66</v>
      </c>
      <c r="K211" s="29">
        <f t="shared" si="80"/>
        <v>80.48780487804879</v>
      </c>
      <c r="L211" s="26">
        <v>31</v>
      </c>
      <c r="M211" s="26">
        <v>3</v>
      </c>
      <c r="N211" s="26">
        <v>3</v>
      </c>
      <c r="O211" s="26">
        <v>29</v>
      </c>
      <c r="P211" s="26">
        <v>0</v>
      </c>
      <c r="Q211" s="30">
        <v>16</v>
      </c>
      <c r="R211" s="31">
        <f t="shared" si="81"/>
        <v>0.17921146953405018</v>
      </c>
      <c r="S211" s="206">
        <v>3</v>
      </c>
      <c r="T211" s="168">
        <f>S211/F211*100</f>
        <v>0.17921146953405018</v>
      </c>
      <c r="U211" s="27">
        <f t="shared" si="89"/>
        <v>4.545454545454546</v>
      </c>
      <c r="V211" s="26">
        <v>144</v>
      </c>
      <c r="W211" s="32">
        <f t="shared" si="82"/>
        <v>8.60215053763441</v>
      </c>
    </row>
    <row r="212" spans="1:23" ht="9.75" customHeight="1">
      <c r="A212" s="298"/>
      <c r="B212" s="41" t="s">
        <v>98</v>
      </c>
      <c r="C212" s="260"/>
      <c r="D212" s="260"/>
      <c r="E212" s="265"/>
      <c r="F212" s="108">
        <v>3</v>
      </c>
      <c r="G212" s="271"/>
      <c r="H212" s="105">
        <f t="shared" si="86"/>
        <v>1</v>
      </c>
      <c r="I212" s="106">
        <f t="shared" si="87"/>
        <v>33.33333333333333</v>
      </c>
      <c r="J212" s="105">
        <f t="shared" si="88"/>
        <v>1</v>
      </c>
      <c r="K212" s="106">
        <f t="shared" si="80"/>
        <v>100</v>
      </c>
      <c r="L212" s="105">
        <v>0</v>
      </c>
      <c r="M212" s="105">
        <v>1</v>
      </c>
      <c r="N212" s="105">
        <v>0</v>
      </c>
      <c r="O212" s="105">
        <v>0</v>
      </c>
      <c r="P212" s="105">
        <v>0</v>
      </c>
      <c r="Q212" s="115">
        <v>0</v>
      </c>
      <c r="R212" s="116">
        <f t="shared" si="81"/>
        <v>33.33333333333333</v>
      </c>
      <c r="S212" s="207">
        <v>1</v>
      </c>
      <c r="T212" s="208">
        <f>S212/F212*100</f>
        <v>33.33333333333333</v>
      </c>
      <c r="U212" s="104">
        <f t="shared" si="89"/>
        <v>100</v>
      </c>
      <c r="V212" s="105">
        <v>2</v>
      </c>
      <c r="W212" s="117">
        <f t="shared" si="82"/>
        <v>66.66666666666666</v>
      </c>
    </row>
    <row r="213" spans="1:23" ht="9.75" customHeight="1">
      <c r="A213" s="299"/>
      <c r="B213" s="209" t="s">
        <v>111</v>
      </c>
      <c r="C213" s="210">
        <f>SUM(C209,C211)</f>
        <v>10830</v>
      </c>
      <c r="D213" s="210">
        <f>SUM(D209,D211)</f>
        <v>3176</v>
      </c>
      <c r="E213" s="211">
        <f t="shared" si="85"/>
        <v>29.32594644506002</v>
      </c>
      <c r="F213" s="210">
        <f>SUM(F209,F211)</f>
        <v>2736</v>
      </c>
      <c r="G213" s="212">
        <f t="shared" si="79"/>
        <v>86.14609571788414</v>
      </c>
      <c r="H213" s="210">
        <f t="shared" si="86"/>
        <v>129</v>
      </c>
      <c r="I213" s="56">
        <f t="shared" si="87"/>
        <v>4.714912280701754</v>
      </c>
      <c r="J213" s="210">
        <f t="shared" si="88"/>
        <v>100</v>
      </c>
      <c r="K213" s="56">
        <f t="shared" si="80"/>
        <v>77.51937984496125</v>
      </c>
      <c r="L213" s="210">
        <f aca="true" t="shared" si="90" ref="L213:Q214">SUM(L209,L211)</f>
        <v>40</v>
      </c>
      <c r="M213" s="210">
        <f t="shared" si="90"/>
        <v>4</v>
      </c>
      <c r="N213" s="210">
        <f t="shared" si="90"/>
        <v>4</v>
      </c>
      <c r="O213" s="210">
        <f t="shared" si="90"/>
        <v>52</v>
      </c>
      <c r="P213" s="210">
        <f t="shared" si="90"/>
        <v>0</v>
      </c>
      <c r="Q213" s="213">
        <f t="shared" si="90"/>
        <v>29</v>
      </c>
      <c r="R213" s="214">
        <f t="shared" si="81"/>
        <v>0.14619883040935672</v>
      </c>
      <c r="S213" s="210">
        <f>SUM(S209,S211)</f>
        <v>4</v>
      </c>
      <c r="T213" s="216">
        <f>S213/F213*100</f>
        <v>0.14619883040935672</v>
      </c>
      <c r="U213" s="212">
        <f t="shared" si="89"/>
        <v>4</v>
      </c>
      <c r="V213" s="210">
        <f>SUM(V209,V211)</f>
        <v>266</v>
      </c>
      <c r="W213" s="227">
        <f t="shared" si="82"/>
        <v>9.722222222222223</v>
      </c>
    </row>
    <row r="214" spans="1:23" ht="9.75" customHeight="1" thickBot="1">
      <c r="A214" s="299"/>
      <c r="B214" s="231" t="s">
        <v>112</v>
      </c>
      <c r="C214" s="262"/>
      <c r="D214" s="262"/>
      <c r="E214" s="263"/>
      <c r="F214" s="232">
        <f>SUM(F210,F212)</f>
        <v>124</v>
      </c>
      <c r="G214" s="272"/>
      <c r="H214" s="232">
        <f t="shared" si="86"/>
        <v>5</v>
      </c>
      <c r="I214" s="93">
        <f t="shared" si="87"/>
        <v>4.032258064516129</v>
      </c>
      <c r="J214" s="232">
        <f t="shared" si="88"/>
        <v>4</v>
      </c>
      <c r="K214" s="93">
        <f t="shared" si="80"/>
        <v>80</v>
      </c>
      <c r="L214" s="232">
        <f t="shared" si="90"/>
        <v>1</v>
      </c>
      <c r="M214" s="232">
        <f t="shared" si="90"/>
        <v>1</v>
      </c>
      <c r="N214" s="232">
        <f t="shared" si="90"/>
        <v>0</v>
      </c>
      <c r="O214" s="232">
        <f t="shared" si="90"/>
        <v>2</v>
      </c>
      <c r="P214" s="232">
        <f t="shared" si="90"/>
        <v>0</v>
      </c>
      <c r="Q214" s="234">
        <f t="shared" si="90"/>
        <v>1</v>
      </c>
      <c r="R214" s="235">
        <f t="shared" si="81"/>
        <v>0.8064516129032258</v>
      </c>
      <c r="S214" s="232">
        <f>SUM(S210,S212)</f>
        <v>1</v>
      </c>
      <c r="T214" s="236">
        <f>S214/F214</f>
        <v>0.008064516129032258</v>
      </c>
      <c r="U214" s="233">
        <f t="shared" si="89"/>
        <v>25</v>
      </c>
      <c r="V214" s="232">
        <f>SUM(V210,V212)</f>
        <v>44</v>
      </c>
      <c r="W214" s="339">
        <f t="shared" si="82"/>
        <v>35.483870967741936</v>
      </c>
    </row>
    <row r="215" spans="1:23" ht="9.75" customHeight="1">
      <c r="A215" s="300" t="s">
        <v>40</v>
      </c>
      <c r="B215" s="118" t="s">
        <v>96</v>
      </c>
      <c r="C215" s="125">
        <f>SUM(C191,C197,C203,C209)</f>
        <v>38901</v>
      </c>
      <c r="D215" s="125">
        <f>SUM(D191,D197,D203,D209)</f>
        <v>15698</v>
      </c>
      <c r="E215" s="126">
        <f t="shared" si="85"/>
        <v>40.353718413408394</v>
      </c>
      <c r="F215" s="125">
        <f>SUM(F191,F197,F203,F209)</f>
        <v>5145</v>
      </c>
      <c r="G215" s="127">
        <f t="shared" si="79"/>
        <v>32.774875780354186</v>
      </c>
      <c r="H215" s="125">
        <f t="shared" si="86"/>
        <v>173</v>
      </c>
      <c r="I215" s="128">
        <f t="shared" si="87"/>
        <v>3.362487852283771</v>
      </c>
      <c r="J215" s="125">
        <f t="shared" si="88"/>
        <v>134</v>
      </c>
      <c r="K215" s="128">
        <f t="shared" si="80"/>
        <v>77.45664739884393</v>
      </c>
      <c r="L215" s="125">
        <f aca="true" t="shared" si="91" ref="L215:Q218">SUM(L191,L197,L203,L209)</f>
        <v>54</v>
      </c>
      <c r="M215" s="125">
        <f t="shared" si="91"/>
        <v>6</v>
      </c>
      <c r="N215" s="125">
        <f t="shared" si="91"/>
        <v>4</v>
      </c>
      <c r="O215" s="125">
        <f t="shared" si="91"/>
        <v>70</v>
      </c>
      <c r="P215" s="125">
        <f t="shared" si="91"/>
        <v>1</v>
      </c>
      <c r="Q215" s="129">
        <f t="shared" si="91"/>
        <v>38</v>
      </c>
      <c r="R215" s="130">
        <f t="shared" si="81"/>
        <v>0.11661807580174927</v>
      </c>
      <c r="S215" s="125">
        <f>SUM(S191,S197,S203,S209)</f>
        <v>1</v>
      </c>
      <c r="T215" s="130">
        <f>S215/F215*100</f>
        <v>0.019436345966958212</v>
      </c>
      <c r="U215" s="127">
        <f t="shared" si="89"/>
        <v>4.477611940298507</v>
      </c>
      <c r="V215" s="125">
        <f>SUM(V191,V197,V203,V209)</f>
        <v>1078</v>
      </c>
      <c r="W215" s="131">
        <f t="shared" si="82"/>
        <v>20.952380952380953</v>
      </c>
    </row>
    <row r="216" spans="1:23" ht="9.75" customHeight="1">
      <c r="A216" s="301"/>
      <c r="B216" s="119" t="s">
        <v>99</v>
      </c>
      <c r="C216" s="258"/>
      <c r="D216" s="258"/>
      <c r="E216" s="264"/>
      <c r="F216" s="20">
        <f>SUM(F192,F198,F204,F210)</f>
        <v>249</v>
      </c>
      <c r="G216" s="270"/>
      <c r="H216" s="20">
        <f t="shared" si="86"/>
        <v>4</v>
      </c>
      <c r="I216" s="22">
        <f t="shared" si="87"/>
        <v>1.6064257028112447</v>
      </c>
      <c r="J216" s="20">
        <f t="shared" si="88"/>
        <v>3</v>
      </c>
      <c r="K216" s="22">
        <f t="shared" si="80"/>
        <v>75</v>
      </c>
      <c r="L216" s="20">
        <f t="shared" si="91"/>
        <v>1</v>
      </c>
      <c r="M216" s="20">
        <f t="shared" si="91"/>
        <v>0</v>
      </c>
      <c r="N216" s="20">
        <f t="shared" si="91"/>
        <v>0</v>
      </c>
      <c r="O216" s="20">
        <f t="shared" si="91"/>
        <v>2</v>
      </c>
      <c r="P216" s="20">
        <f t="shared" si="91"/>
        <v>0</v>
      </c>
      <c r="Q216" s="23">
        <f t="shared" si="91"/>
        <v>1</v>
      </c>
      <c r="R216" s="24">
        <f t="shared" si="81"/>
        <v>0</v>
      </c>
      <c r="S216" s="20">
        <f>SUM(S192,S198,S204,S210)</f>
        <v>0</v>
      </c>
      <c r="T216" s="166">
        <f>S216/F216*100</f>
        <v>0</v>
      </c>
      <c r="U216" s="21">
        <f t="shared" si="89"/>
        <v>0</v>
      </c>
      <c r="V216" s="20">
        <f>SUM(V192,V198,V204,V210)</f>
        <v>87</v>
      </c>
      <c r="W216" s="25">
        <f t="shared" si="82"/>
        <v>34.93975903614458</v>
      </c>
    </row>
    <row r="217" spans="1:23" ht="9.75" customHeight="1">
      <c r="A217" s="301"/>
      <c r="B217" s="119" t="s">
        <v>97</v>
      </c>
      <c r="C217" s="20">
        <f>SUM(C193,C199,C205,C211)</f>
        <v>46587</v>
      </c>
      <c r="D217" s="20">
        <f>SUM(D193,D199,D205,D211)</f>
        <v>26579</v>
      </c>
      <c r="E217" s="237">
        <f t="shared" si="85"/>
        <v>57.05239659132376</v>
      </c>
      <c r="F217" s="20">
        <f>SUM(F193,F199,F205,F211)</f>
        <v>8540</v>
      </c>
      <c r="G217" s="21">
        <f t="shared" si="79"/>
        <v>32.13062944429813</v>
      </c>
      <c r="H217" s="20">
        <f t="shared" si="86"/>
        <v>223</v>
      </c>
      <c r="I217" s="22">
        <f t="shared" si="87"/>
        <v>2.611241217798595</v>
      </c>
      <c r="J217" s="20">
        <f t="shared" si="88"/>
        <v>193</v>
      </c>
      <c r="K217" s="22">
        <f t="shared" si="80"/>
        <v>86.54708520179372</v>
      </c>
      <c r="L217" s="20">
        <f t="shared" si="91"/>
        <v>98</v>
      </c>
      <c r="M217" s="20">
        <f t="shared" si="91"/>
        <v>3</v>
      </c>
      <c r="N217" s="20">
        <f t="shared" si="91"/>
        <v>7</v>
      </c>
      <c r="O217" s="20">
        <f t="shared" si="91"/>
        <v>85</v>
      </c>
      <c r="P217" s="20">
        <f t="shared" si="91"/>
        <v>0</v>
      </c>
      <c r="Q217" s="23">
        <f t="shared" si="91"/>
        <v>30</v>
      </c>
      <c r="R217" s="24">
        <f t="shared" si="81"/>
        <v>0.0351288056206089</v>
      </c>
      <c r="S217" s="20">
        <f>SUM(S193,S199,S205,S211)</f>
        <v>3</v>
      </c>
      <c r="T217" s="166">
        <f>S217/F217*100</f>
        <v>0.0351288056206089</v>
      </c>
      <c r="U217" s="21">
        <f t="shared" si="89"/>
        <v>1.5544041450777202</v>
      </c>
      <c r="V217" s="20">
        <f>SUM(V193,V199,V205,V211)</f>
        <v>1756</v>
      </c>
      <c r="W217" s="25">
        <f t="shared" si="82"/>
        <v>20.562060889929743</v>
      </c>
    </row>
    <row r="218" spans="1:23" ht="9.75" customHeight="1">
      <c r="A218" s="301"/>
      <c r="B218" s="223" t="s">
        <v>98</v>
      </c>
      <c r="C218" s="260"/>
      <c r="D218" s="260"/>
      <c r="E218" s="265"/>
      <c r="F218" s="133">
        <f>SUM(F194,F200,F206,F212)</f>
        <v>11</v>
      </c>
      <c r="G218" s="271"/>
      <c r="H218" s="133">
        <f t="shared" si="86"/>
        <v>1</v>
      </c>
      <c r="I218" s="135">
        <f t="shared" si="87"/>
        <v>9.090909090909092</v>
      </c>
      <c r="J218" s="133">
        <f t="shared" si="88"/>
        <v>1</v>
      </c>
      <c r="K218" s="135">
        <f t="shared" si="80"/>
        <v>100</v>
      </c>
      <c r="L218" s="133">
        <f t="shared" si="91"/>
        <v>0</v>
      </c>
      <c r="M218" s="133">
        <f t="shared" si="91"/>
        <v>1</v>
      </c>
      <c r="N218" s="133">
        <f t="shared" si="91"/>
        <v>0</v>
      </c>
      <c r="O218" s="133">
        <f t="shared" si="91"/>
        <v>0</v>
      </c>
      <c r="P218" s="133">
        <f t="shared" si="91"/>
        <v>0</v>
      </c>
      <c r="Q218" s="256">
        <f t="shared" si="91"/>
        <v>0</v>
      </c>
      <c r="R218" s="136">
        <f t="shared" si="81"/>
        <v>9.090909090909092</v>
      </c>
      <c r="S218" s="133">
        <f>SUM(S194,S200,S206,S212)</f>
        <v>1</v>
      </c>
      <c r="T218" s="167">
        <f>S218/F218*100</f>
        <v>9.090909090909092</v>
      </c>
      <c r="U218" s="134">
        <f t="shared" si="89"/>
        <v>100</v>
      </c>
      <c r="V218" s="133">
        <f>SUM(V194,V200,V206,V212)</f>
        <v>8</v>
      </c>
      <c r="W218" s="137">
        <f t="shared" si="82"/>
        <v>72.72727272727273</v>
      </c>
    </row>
    <row r="219" spans="1:23" ht="9.75" customHeight="1">
      <c r="A219" s="302"/>
      <c r="B219" s="228" t="s">
        <v>111</v>
      </c>
      <c r="C219" s="238">
        <f>SUM(C215,C217)</f>
        <v>85488</v>
      </c>
      <c r="D219" s="238">
        <f>SUM(D215,D217)</f>
        <v>42277</v>
      </c>
      <c r="E219" s="253">
        <f t="shared" si="85"/>
        <v>49.453724499344936</v>
      </c>
      <c r="F219" s="238">
        <f>SUM(F215,F217)</f>
        <v>13685</v>
      </c>
      <c r="G219" s="239">
        <f t="shared" si="79"/>
        <v>32.36984648863448</v>
      </c>
      <c r="H219" s="238">
        <f t="shared" si="86"/>
        <v>396</v>
      </c>
      <c r="I219" s="240">
        <f t="shared" si="87"/>
        <v>2.893679210814761</v>
      </c>
      <c r="J219" s="238">
        <f t="shared" si="88"/>
        <v>327</v>
      </c>
      <c r="K219" s="240">
        <f t="shared" si="80"/>
        <v>82.57575757575758</v>
      </c>
      <c r="L219" s="238">
        <f aca="true" t="shared" si="92" ref="L219:Q220">SUM(L215,L217)</f>
        <v>152</v>
      </c>
      <c r="M219" s="238">
        <f t="shared" si="92"/>
        <v>9</v>
      </c>
      <c r="N219" s="238">
        <f t="shared" si="92"/>
        <v>11</v>
      </c>
      <c r="O219" s="238">
        <f t="shared" si="92"/>
        <v>155</v>
      </c>
      <c r="P219" s="238">
        <f t="shared" si="92"/>
        <v>1</v>
      </c>
      <c r="Q219" s="241">
        <f t="shared" si="92"/>
        <v>68</v>
      </c>
      <c r="R219" s="242">
        <f t="shared" si="81"/>
        <v>0.06576543660942638</v>
      </c>
      <c r="S219" s="238">
        <f>SUM(S215,S217)</f>
        <v>4</v>
      </c>
      <c r="T219" s="243">
        <f>S219/F219*100</f>
        <v>0.029229082937522834</v>
      </c>
      <c r="U219" s="239">
        <f t="shared" si="89"/>
        <v>2.7522935779816518</v>
      </c>
      <c r="V219" s="238">
        <f>SUM(V215,V217)</f>
        <v>2834</v>
      </c>
      <c r="W219" s="244">
        <f t="shared" si="82"/>
        <v>20.70880526123493</v>
      </c>
    </row>
    <row r="220" spans="1:23" ht="9.75" customHeight="1" thickBot="1">
      <c r="A220" s="303"/>
      <c r="B220" s="229" t="s">
        <v>112</v>
      </c>
      <c r="C220" s="262"/>
      <c r="D220" s="262"/>
      <c r="E220" s="263"/>
      <c r="F220" s="245">
        <f>SUM(F216,F218)</f>
        <v>260</v>
      </c>
      <c r="G220" s="272"/>
      <c r="H220" s="245">
        <f t="shared" si="86"/>
        <v>5</v>
      </c>
      <c r="I220" s="247">
        <f t="shared" si="87"/>
        <v>1.9230769230769231</v>
      </c>
      <c r="J220" s="245">
        <f t="shared" si="88"/>
        <v>4</v>
      </c>
      <c r="K220" s="247">
        <f t="shared" si="80"/>
        <v>80</v>
      </c>
      <c r="L220" s="245">
        <f t="shared" si="92"/>
        <v>1</v>
      </c>
      <c r="M220" s="245">
        <f t="shared" si="92"/>
        <v>1</v>
      </c>
      <c r="N220" s="245">
        <f t="shared" si="92"/>
        <v>0</v>
      </c>
      <c r="O220" s="245">
        <f t="shared" si="92"/>
        <v>2</v>
      </c>
      <c r="P220" s="245">
        <f t="shared" si="92"/>
        <v>0</v>
      </c>
      <c r="Q220" s="248">
        <f t="shared" si="92"/>
        <v>1</v>
      </c>
      <c r="R220" s="249">
        <f t="shared" si="81"/>
        <v>0.38461538461538464</v>
      </c>
      <c r="S220" s="245">
        <f>SUM(S216,S218)</f>
        <v>1</v>
      </c>
      <c r="T220" s="250">
        <f>S220/F220</f>
        <v>0.0038461538461538464</v>
      </c>
      <c r="U220" s="246">
        <f t="shared" si="89"/>
        <v>25</v>
      </c>
      <c r="V220" s="245">
        <f>SUM(V216,V218)</f>
        <v>95</v>
      </c>
      <c r="W220" s="251">
        <f t="shared" si="82"/>
        <v>36.53846153846153</v>
      </c>
    </row>
    <row r="221" spans="1:23" ht="9.75" customHeight="1">
      <c r="A221" s="290" t="s">
        <v>94</v>
      </c>
      <c r="B221" s="41" t="s">
        <v>96</v>
      </c>
      <c r="C221" s="111">
        <v>9533</v>
      </c>
      <c r="D221" s="111">
        <v>3190</v>
      </c>
      <c r="E221" s="121">
        <f t="shared" si="85"/>
        <v>33.46270848631071</v>
      </c>
      <c r="F221" s="122">
        <v>2538</v>
      </c>
      <c r="G221" s="113">
        <f t="shared" si="79"/>
        <v>79.56112852664576</v>
      </c>
      <c r="H221" s="111">
        <f t="shared" si="86"/>
        <v>7</v>
      </c>
      <c r="I221" s="123">
        <f t="shared" si="87"/>
        <v>0.27580772261623326</v>
      </c>
      <c r="J221" s="111">
        <f t="shared" si="88"/>
        <v>5</v>
      </c>
      <c r="K221" s="123">
        <f t="shared" si="80"/>
        <v>71.42857142857143</v>
      </c>
      <c r="L221" s="111">
        <v>0</v>
      </c>
      <c r="M221" s="111">
        <v>2</v>
      </c>
      <c r="N221" s="111">
        <v>0</v>
      </c>
      <c r="O221" s="111">
        <v>3</v>
      </c>
      <c r="P221" s="111">
        <v>0</v>
      </c>
      <c r="Q221" s="124">
        <v>2</v>
      </c>
      <c r="R221" s="112">
        <f t="shared" si="81"/>
        <v>0.07880220646178093</v>
      </c>
      <c r="S221" s="205">
        <v>0</v>
      </c>
      <c r="T221" s="112">
        <f>S221/F221*100</f>
        <v>0</v>
      </c>
      <c r="U221" s="113">
        <f t="shared" si="89"/>
        <v>40</v>
      </c>
      <c r="V221" s="111">
        <v>414</v>
      </c>
      <c r="W221" s="114">
        <f t="shared" si="82"/>
        <v>16.312056737588655</v>
      </c>
    </row>
    <row r="222" spans="1:23" ht="9.75" customHeight="1">
      <c r="A222" s="291"/>
      <c r="B222" s="42" t="s">
        <v>99</v>
      </c>
      <c r="C222" s="258"/>
      <c r="D222" s="258"/>
      <c r="E222" s="264"/>
      <c r="F222" s="107">
        <v>197</v>
      </c>
      <c r="G222" s="270"/>
      <c r="H222" s="26">
        <f t="shared" si="86"/>
        <v>1</v>
      </c>
      <c r="I222" s="29">
        <f t="shared" si="87"/>
        <v>0.5076142131979695</v>
      </c>
      <c r="J222" s="26">
        <f t="shared" si="88"/>
        <v>1</v>
      </c>
      <c r="K222" s="29">
        <f t="shared" si="80"/>
        <v>100</v>
      </c>
      <c r="L222" s="26">
        <v>0</v>
      </c>
      <c r="M222" s="26">
        <v>0</v>
      </c>
      <c r="N222" s="26">
        <v>0</v>
      </c>
      <c r="O222" s="26">
        <v>1</v>
      </c>
      <c r="P222" s="26">
        <v>0</v>
      </c>
      <c r="Q222" s="30">
        <v>0</v>
      </c>
      <c r="R222" s="31">
        <f t="shared" si="81"/>
        <v>0</v>
      </c>
      <c r="S222" s="206">
        <v>0</v>
      </c>
      <c r="T222" s="168">
        <f>S222/F222*100</f>
        <v>0</v>
      </c>
      <c r="U222" s="27">
        <f t="shared" si="89"/>
        <v>0</v>
      </c>
      <c r="V222" s="26">
        <v>80</v>
      </c>
      <c r="W222" s="32">
        <f t="shared" si="82"/>
        <v>40.609137055837564</v>
      </c>
    </row>
    <row r="223" spans="1:23" ht="9.75" customHeight="1">
      <c r="A223" s="291"/>
      <c r="B223" s="42" t="s">
        <v>97</v>
      </c>
      <c r="C223" s="26">
        <v>11541</v>
      </c>
      <c r="D223" s="26">
        <v>4448</v>
      </c>
      <c r="E223" s="121">
        <f t="shared" si="85"/>
        <v>38.540854345377355</v>
      </c>
      <c r="F223" s="107">
        <v>3681</v>
      </c>
      <c r="G223" s="27">
        <f t="shared" si="79"/>
        <v>82.75629496402878</v>
      </c>
      <c r="H223" s="26">
        <f t="shared" si="86"/>
        <v>4</v>
      </c>
      <c r="I223" s="29">
        <f t="shared" si="87"/>
        <v>0.10866612333604998</v>
      </c>
      <c r="J223" s="26">
        <f t="shared" si="88"/>
        <v>3</v>
      </c>
      <c r="K223" s="29">
        <f t="shared" si="80"/>
        <v>75</v>
      </c>
      <c r="L223" s="26">
        <v>2</v>
      </c>
      <c r="M223" s="26">
        <v>0</v>
      </c>
      <c r="N223" s="26">
        <v>0</v>
      </c>
      <c r="O223" s="26">
        <v>1</v>
      </c>
      <c r="P223" s="26">
        <v>0</v>
      </c>
      <c r="Q223" s="30">
        <v>1</v>
      </c>
      <c r="R223" s="31">
        <f t="shared" si="81"/>
        <v>0</v>
      </c>
      <c r="S223" s="206">
        <v>0</v>
      </c>
      <c r="T223" s="168">
        <f>S223/F223*100</f>
        <v>0</v>
      </c>
      <c r="U223" s="27">
        <f t="shared" si="89"/>
        <v>0</v>
      </c>
      <c r="V223" s="26">
        <v>529</v>
      </c>
      <c r="W223" s="32">
        <f t="shared" si="82"/>
        <v>14.371094811192611</v>
      </c>
    </row>
    <row r="224" spans="1:23" ht="9.75" customHeight="1">
      <c r="A224" s="291"/>
      <c r="B224" s="41" t="s">
        <v>98</v>
      </c>
      <c r="C224" s="260"/>
      <c r="D224" s="260"/>
      <c r="E224" s="265"/>
      <c r="F224" s="108">
        <v>16</v>
      </c>
      <c r="G224" s="271"/>
      <c r="H224" s="105">
        <f t="shared" si="86"/>
        <v>0</v>
      </c>
      <c r="I224" s="106">
        <f t="shared" si="87"/>
        <v>0</v>
      </c>
      <c r="J224" s="105">
        <f t="shared" si="88"/>
        <v>0</v>
      </c>
      <c r="K224" s="106" t="e">
        <f t="shared" si="80"/>
        <v>#DIV/0!</v>
      </c>
      <c r="L224" s="252">
        <v>0</v>
      </c>
      <c r="M224" s="252">
        <v>0</v>
      </c>
      <c r="N224" s="252">
        <v>0</v>
      </c>
      <c r="O224" s="252">
        <v>0</v>
      </c>
      <c r="P224" s="252">
        <v>0</v>
      </c>
      <c r="Q224" s="257">
        <v>0</v>
      </c>
      <c r="R224" s="116">
        <f t="shared" si="81"/>
        <v>0</v>
      </c>
      <c r="S224" s="207">
        <v>0</v>
      </c>
      <c r="T224" s="208">
        <f>S224/F224*100</f>
        <v>0</v>
      </c>
      <c r="U224" s="104" t="e">
        <f t="shared" si="89"/>
        <v>#DIV/0!</v>
      </c>
      <c r="V224" s="105">
        <v>11</v>
      </c>
      <c r="W224" s="117">
        <f t="shared" si="82"/>
        <v>68.75</v>
      </c>
    </row>
    <row r="225" spans="1:23" ht="9.75" customHeight="1">
      <c r="A225" s="291"/>
      <c r="B225" s="209" t="s">
        <v>111</v>
      </c>
      <c r="C225" s="210">
        <f>SUM(C221,C223)</f>
        <v>21074</v>
      </c>
      <c r="D225" s="210">
        <f>SUM(D221,D223)</f>
        <v>7638</v>
      </c>
      <c r="E225" s="211">
        <f t="shared" si="85"/>
        <v>36.24371263167885</v>
      </c>
      <c r="F225" s="210">
        <f>SUM(F221,F223)</f>
        <v>6219</v>
      </c>
      <c r="G225" s="212">
        <f t="shared" si="79"/>
        <v>81.42183817753339</v>
      </c>
      <c r="H225" s="210">
        <f t="shared" si="86"/>
        <v>11</v>
      </c>
      <c r="I225" s="56">
        <f t="shared" si="87"/>
        <v>0.17687731146486574</v>
      </c>
      <c r="J225" s="210">
        <f t="shared" si="88"/>
        <v>8</v>
      </c>
      <c r="K225" s="56">
        <f t="shared" si="80"/>
        <v>72.72727272727273</v>
      </c>
      <c r="L225" s="210">
        <f aca="true" t="shared" si="93" ref="L225:Q226">SUM(L221,L223)</f>
        <v>2</v>
      </c>
      <c r="M225" s="210">
        <f t="shared" si="93"/>
        <v>2</v>
      </c>
      <c r="N225" s="210">
        <f t="shared" si="93"/>
        <v>0</v>
      </c>
      <c r="O225" s="210">
        <f t="shared" si="93"/>
        <v>4</v>
      </c>
      <c r="P225" s="210">
        <f t="shared" si="93"/>
        <v>0</v>
      </c>
      <c r="Q225" s="213">
        <f t="shared" si="93"/>
        <v>3</v>
      </c>
      <c r="R225" s="214">
        <f t="shared" si="81"/>
        <v>0.03215951117543013</v>
      </c>
      <c r="S225" s="210">
        <f>SUM(S221,S223)</f>
        <v>0</v>
      </c>
      <c r="T225" s="216">
        <f>S225/F225*100</f>
        <v>0</v>
      </c>
      <c r="U225" s="212">
        <f t="shared" si="89"/>
        <v>25</v>
      </c>
      <c r="V225" s="210">
        <f>SUM(V221,V223)</f>
        <v>943</v>
      </c>
      <c r="W225" s="227">
        <f t="shared" si="82"/>
        <v>15.163209519215307</v>
      </c>
    </row>
    <row r="226" spans="1:23" ht="9.75" customHeight="1">
      <c r="A226" s="291"/>
      <c r="B226" s="217" t="s">
        <v>112</v>
      </c>
      <c r="C226" s="266"/>
      <c r="D226" s="266"/>
      <c r="E226" s="268"/>
      <c r="F226" s="218">
        <f>SUM(F222,F224)</f>
        <v>213</v>
      </c>
      <c r="G226" s="273"/>
      <c r="H226" s="218">
        <f t="shared" si="86"/>
        <v>1</v>
      </c>
      <c r="I226" s="220">
        <f t="shared" si="87"/>
        <v>0.4694835680751174</v>
      </c>
      <c r="J226" s="218">
        <f t="shared" si="88"/>
        <v>1</v>
      </c>
      <c r="K226" s="220">
        <f t="shared" si="80"/>
        <v>100</v>
      </c>
      <c r="L226" s="218">
        <f t="shared" si="93"/>
        <v>0</v>
      </c>
      <c r="M226" s="218">
        <f t="shared" si="93"/>
        <v>0</v>
      </c>
      <c r="N226" s="218">
        <f t="shared" si="93"/>
        <v>0</v>
      </c>
      <c r="O226" s="218">
        <f t="shared" si="93"/>
        <v>1</v>
      </c>
      <c r="P226" s="218">
        <f t="shared" si="93"/>
        <v>0</v>
      </c>
      <c r="Q226" s="221">
        <f t="shared" si="93"/>
        <v>0</v>
      </c>
      <c r="R226" s="222">
        <f t="shared" si="81"/>
        <v>0</v>
      </c>
      <c r="S226" s="218">
        <f>SUM(S222,S224)</f>
        <v>0</v>
      </c>
      <c r="T226" s="169">
        <f>S226/F226</f>
        <v>0</v>
      </c>
      <c r="U226" s="219">
        <f t="shared" si="89"/>
        <v>0</v>
      </c>
      <c r="V226" s="218">
        <f>SUM(V222,V224)</f>
        <v>91</v>
      </c>
      <c r="W226" s="338">
        <f t="shared" si="82"/>
        <v>42.72300469483568</v>
      </c>
    </row>
    <row r="227" spans="1:23" ht="9.75" customHeight="1">
      <c r="A227" s="298" t="s">
        <v>29</v>
      </c>
      <c r="B227" s="41" t="s">
        <v>96</v>
      </c>
      <c r="C227" s="111">
        <v>3036</v>
      </c>
      <c r="D227" s="111">
        <v>738</v>
      </c>
      <c r="E227" s="121">
        <f t="shared" si="85"/>
        <v>24.308300395256918</v>
      </c>
      <c r="F227" s="122">
        <v>445</v>
      </c>
      <c r="G227" s="113">
        <f t="shared" si="79"/>
        <v>60.298102981029814</v>
      </c>
      <c r="H227" s="111">
        <f t="shared" si="86"/>
        <v>18</v>
      </c>
      <c r="I227" s="123">
        <f t="shared" si="87"/>
        <v>4.044943820224719</v>
      </c>
      <c r="J227" s="111">
        <f t="shared" si="88"/>
        <v>15</v>
      </c>
      <c r="K227" s="123">
        <f t="shared" si="80"/>
        <v>83.33333333333334</v>
      </c>
      <c r="L227" s="111">
        <v>6</v>
      </c>
      <c r="M227" s="111">
        <v>1</v>
      </c>
      <c r="N227" s="111">
        <v>1</v>
      </c>
      <c r="O227" s="111">
        <v>7</v>
      </c>
      <c r="P227" s="111">
        <v>1</v>
      </c>
      <c r="Q227" s="124">
        <v>2</v>
      </c>
      <c r="R227" s="112">
        <f t="shared" si="81"/>
        <v>0.22471910112359553</v>
      </c>
      <c r="S227" s="205">
        <v>0</v>
      </c>
      <c r="T227" s="112">
        <f>S227/F227*100</f>
        <v>0</v>
      </c>
      <c r="U227" s="113">
        <f t="shared" si="89"/>
        <v>6.666666666666667</v>
      </c>
      <c r="V227" s="111">
        <v>65</v>
      </c>
      <c r="W227" s="114">
        <f t="shared" si="82"/>
        <v>14.606741573033707</v>
      </c>
    </row>
    <row r="228" spans="1:23" ht="9.75" customHeight="1">
      <c r="A228" s="298"/>
      <c r="B228" s="42" t="s">
        <v>99</v>
      </c>
      <c r="C228" s="258"/>
      <c r="D228" s="258"/>
      <c r="E228" s="264"/>
      <c r="F228" s="107">
        <v>64</v>
      </c>
      <c r="G228" s="270"/>
      <c r="H228" s="26">
        <f t="shared" si="86"/>
        <v>0</v>
      </c>
      <c r="I228" s="29">
        <f t="shared" si="87"/>
        <v>0</v>
      </c>
      <c r="J228" s="26">
        <f t="shared" si="88"/>
        <v>0</v>
      </c>
      <c r="K228" s="29" t="e">
        <f t="shared" si="80"/>
        <v>#DIV/0!</v>
      </c>
      <c r="L228" s="26">
        <v>0</v>
      </c>
      <c r="M228" s="26">
        <v>0</v>
      </c>
      <c r="N228" s="26">
        <v>0</v>
      </c>
      <c r="O228" s="26">
        <v>0</v>
      </c>
      <c r="P228" s="26">
        <v>0</v>
      </c>
      <c r="Q228" s="30">
        <v>0</v>
      </c>
      <c r="R228" s="31">
        <f t="shared" si="81"/>
        <v>0</v>
      </c>
      <c r="S228" s="206">
        <v>0</v>
      </c>
      <c r="T228" s="168">
        <f>S228/F228*100</f>
        <v>0</v>
      </c>
      <c r="U228" s="27" t="e">
        <f t="shared" si="89"/>
        <v>#DIV/0!</v>
      </c>
      <c r="V228" s="26">
        <v>9</v>
      </c>
      <c r="W228" s="32">
        <f t="shared" si="82"/>
        <v>14.0625</v>
      </c>
    </row>
    <row r="229" spans="1:23" ht="9.75" customHeight="1">
      <c r="A229" s="298"/>
      <c r="B229" s="42" t="s">
        <v>97</v>
      </c>
      <c r="C229" s="26">
        <v>3612</v>
      </c>
      <c r="D229" s="26">
        <v>1117</v>
      </c>
      <c r="E229" s="121">
        <f t="shared" si="85"/>
        <v>30.924695459579183</v>
      </c>
      <c r="F229" s="107">
        <v>864</v>
      </c>
      <c r="G229" s="27">
        <f t="shared" si="79"/>
        <v>77.35004476275739</v>
      </c>
      <c r="H229" s="26">
        <f t="shared" si="86"/>
        <v>24</v>
      </c>
      <c r="I229" s="29">
        <f t="shared" si="87"/>
        <v>2.7777777777777777</v>
      </c>
      <c r="J229" s="26">
        <f t="shared" si="88"/>
        <v>22</v>
      </c>
      <c r="K229" s="29">
        <f t="shared" si="80"/>
        <v>91.66666666666666</v>
      </c>
      <c r="L229" s="26">
        <v>12</v>
      </c>
      <c r="M229" s="26">
        <v>1</v>
      </c>
      <c r="N229" s="26">
        <v>1</v>
      </c>
      <c r="O229" s="26">
        <v>8</v>
      </c>
      <c r="P229" s="26">
        <v>0</v>
      </c>
      <c r="Q229" s="30">
        <v>2</v>
      </c>
      <c r="R229" s="31">
        <f t="shared" si="81"/>
        <v>0.11574074074074073</v>
      </c>
      <c r="S229" s="206">
        <v>0</v>
      </c>
      <c r="T229" s="168">
        <f>S229/F229*100</f>
        <v>0</v>
      </c>
      <c r="U229" s="27">
        <f t="shared" si="89"/>
        <v>4.545454545454546</v>
      </c>
      <c r="V229" s="26">
        <v>95</v>
      </c>
      <c r="W229" s="32">
        <f t="shared" si="82"/>
        <v>10.99537037037037</v>
      </c>
    </row>
    <row r="230" spans="1:23" ht="9.75" customHeight="1">
      <c r="A230" s="298"/>
      <c r="B230" s="41" t="s">
        <v>98</v>
      </c>
      <c r="C230" s="260"/>
      <c r="D230" s="260"/>
      <c r="E230" s="265"/>
      <c r="F230" s="108">
        <v>2</v>
      </c>
      <c r="G230" s="271"/>
      <c r="H230" s="105">
        <f t="shared" si="86"/>
        <v>0</v>
      </c>
      <c r="I230" s="106">
        <f t="shared" si="87"/>
        <v>0</v>
      </c>
      <c r="J230" s="105">
        <f t="shared" si="88"/>
        <v>0</v>
      </c>
      <c r="K230" s="106" t="e">
        <f t="shared" si="80"/>
        <v>#DIV/0!</v>
      </c>
      <c r="L230" s="252">
        <v>0</v>
      </c>
      <c r="M230" s="252">
        <v>0</v>
      </c>
      <c r="N230" s="252">
        <v>0</v>
      </c>
      <c r="O230" s="252">
        <v>0</v>
      </c>
      <c r="P230" s="252">
        <v>0</v>
      </c>
      <c r="Q230" s="257">
        <v>0</v>
      </c>
      <c r="R230" s="116">
        <f t="shared" si="81"/>
        <v>0</v>
      </c>
      <c r="S230" s="207">
        <v>0</v>
      </c>
      <c r="T230" s="208">
        <f>S230/F230*100</f>
        <v>0</v>
      </c>
      <c r="U230" s="104" t="e">
        <f t="shared" si="89"/>
        <v>#DIV/0!</v>
      </c>
      <c r="V230" s="105">
        <v>1</v>
      </c>
      <c r="W230" s="117">
        <f t="shared" si="82"/>
        <v>50</v>
      </c>
    </row>
    <row r="231" spans="1:23" ht="9.75" customHeight="1">
      <c r="A231" s="298"/>
      <c r="B231" s="209" t="s">
        <v>111</v>
      </c>
      <c r="C231" s="210">
        <f>SUM(C227,C229)</f>
        <v>6648</v>
      </c>
      <c r="D231" s="210">
        <f>SUM(D227,D229)</f>
        <v>1855</v>
      </c>
      <c r="E231" s="211">
        <f t="shared" si="85"/>
        <v>27.903128760529484</v>
      </c>
      <c r="F231" s="210">
        <f>SUM(F227,F229)</f>
        <v>1309</v>
      </c>
      <c r="G231" s="212">
        <f t="shared" si="79"/>
        <v>70.56603773584905</v>
      </c>
      <c r="H231" s="210">
        <f t="shared" si="86"/>
        <v>42</v>
      </c>
      <c r="I231" s="56">
        <f t="shared" si="87"/>
        <v>3.2085561497326207</v>
      </c>
      <c r="J231" s="210">
        <f t="shared" si="88"/>
        <v>37</v>
      </c>
      <c r="K231" s="56">
        <f t="shared" si="80"/>
        <v>88.09523809523809</v>
      </c>
      <c r="L231" s="210">
        <f aca="true" t="shared" si="94" ref="L231:Q232">SUM(L227,L229)</f>
        <v>18</v>
      </c>
      <c r="M231" s="210">
        <f t="shared" si="94"/>
        <v>2</v>
      </c>
      <c r="N231" s="210">
        <f t="shared" si="94"/>
        <v>2</v>
      </c>
      <c r="O231" s="210">
        <f t="shared" si="94"/>
        <v>15</v>
      </c>
      <c r="P231" s="210">
        <f t="shared" si="94"/>
        <v>1</v>
      </c>
      <c r="Q231" s="213">
        <f t="shared" si="94"/>
        <v>4</v>
      </c>
      <c r="R231" s="214">
        <f t="shared" si="81"/>
        <v>0.15278838808250572</v>
      </c>
      <c r="S231" s="210">
        <f>SUM(S227,S229)</f>
        <v>0</v>
      </c>
      <c r="T231" s="216">
        <f>S231/F231*100</f>
        <v>0</v>
      </c>
      <c r="U231" s="212">
        <f t="shared" si="89"/>
        <v>5.405405405405405</v>
      </c>
      <c r="V231" s="210">
        <f>SUM(V227,V229)</f>
        <v>160</v>
      </c>
      <c r="W231" s="227">
        <f t="shared" si="82"/>
        <v>12.22307104660046</v>
      </c>
    </row>
    <row r="232" spans="1:23" ht="9.75" customHeight="1">
      <c r="A232" s="298"/>
      <c r="B232" s="217" t="s">
        <v>112</v>
      </c>
      <c r="C232" s="266"/>
      <c r="D232" s="266"/>
      <c r="E232" s="268"/>
      <c r="F232" s="218">
        <f>SUM(F228,F230)</f>
        <v>66</v>
      </c>
      <c r="G232" s="273"/>
      <c r="H232" s="218">
        <f t="shared" si="86"/>
        <v>0</v>
      </c>
      <c r="I232" s="220">
        <f t="shared" si="87"/>
        <v>0</v>
      </c>
      <c r="J232" s="218">
        <f t="shared" si="88"/>
        <v>0</v>
      </c>
      <c r="K232" s="220" t="e">
        <f t="shared" si="80"/>
        <v>#DIV/0!</v>
      </c>
      <c r="L232" s="218">
        <f t="shared" si="94"/>
        <v>0</v>
      </c>
      <c r="M232" s="218">
        <f t="shared" si="94"/>
        <v>0</v>
      </c>
      <c r="N232" s="218">
        <f t="shared" si="94"/>
        <v>0</v>
      </c>
      <c r="O232" s="218">
        <f t="shared" si="94"/>
        <v>0</v>
      </c>
      <c r="P232" s="218">
        <f t="shared" si="94"/>
        <v>0</v>
      </c>
      <c r="Q232" s="221">
        <f t="shared" si="94"/>
        <v>0</v>
      </c>
      <c r="R232" s="222">
        <f t="shared" si="81"/>
        <v>0</v>
      </c>
      <c r="S232" s="218">
        <f>SUM(S228,S230)</f>
        <v>0</v>
      </c>
      <c r="T232" s="169">
        <f>S232/F232</f>
        <v>0</v>
      </c>
      <c r="U232" s="219" t="e">
        <f t="shared" si="89"/>
        <v>#DIV/0!</v>
      </c>
      <c r="V232" s="218">
        <f>SUM(V228,V230)</f>
        <v>10</v>
      </c>
      <c r="W232" s="338">
        <f t="shared" si="82"/>
        <v>15.151515151515152</v>
      </c>
    </row>
    <row r="233" spans="1:23" ht="9.75" customHeight="1">
      <c r="A233" s="298" t="s">
        <v>30</v>
      </c>
      <c r="B233" s="41" t="s">
        <v>96</v>
      </c>
      <c r="C233" s="111">
        <v>2198</v>
      </c>
      <c r="D233" s="111">
        <v>441</v>
      </c>
      <c r="E233" s="121">
        <f t="shared" si="85"/>
        <v>20.063694267515924</v>
      </c>
      <c r="F233" s="122">
        <v>409</v>
      </c>
      <c r="G233" s="113">
        <f t="shared" si="79"/>
        <v>92.7437641723356</v>
      </c>
      <c r="H233" s="111">
        <f t="shared" si="86"/>
        <v>9</v>
      </c>
      <c r="I233" s="123">
        <f t="shared" si="87"/>
        <v>2.2004889975550124</v>
      </c>
      <c r="J233" s="111">
        <f t="shared" si="88"/>
        <v>9</v>
      </c>
      <c r="K233" s="123">
        <f t="shared" si="80"/>
        <v>100</v>
      </c>
      <c r="L233" s="111">
        <v>4</v>
      </c>
      <c r="M233" s="111">
        <v>2</v>
      </c>
      <c r="N233" s="111">
        <v>0</v>
      </c>
      <c r="O233" s="111">
        <v>3</v>
      </c>
      <c r="P233" s="111">
        <v>0</v>
      </c>
      <c r="Q233" s="124">
        <v>0</v>
      </c>
      <c r="R233" s="112">
        <f t="shared" si="81"/>
        <v>0.4889975550122249</v>
      </c>
      <c r="S233" s="205">
        <v>1</v>
      </c>
      <c r="T233" s="112">
        <f>S233/F233*100</f>
        <v>0.24449877750611246</v>
      </c>
      <c r="U233" s="113">
        <f t="shared" si="89"/>
        <v>22.22222222222222</v>
      </c>
      <c r="V233" s="111">
        <v>10</v>
      </c>
      <c r="W233" s="114">
        <f t="shared" si="82"/>
        <v>2.444987775061125</v>
      </c>
    </row>
    <row r="234" spans="1:23" ht="9.75" customHeight="1">
      <c r="A234" s="298"/>
      <c r="B234" s="42" t="s">
        <v>99</v>
      </c>
      <c r="C234" s="258"/>
      <c r="D234" s="258"/>
      <c r="E234" s="264"/>
      <c r="F234" s="107">
        <v>49</v>
      </c>
      <c r="G234" s="270"/>
      <c r="H234" s="26">
        <f t="shared" si="86"/>
        <v>0</v>
      </c>
      <c r="I234" s="29">
        <f t="shared" si="87"/>
        <v>0</v>
      </c>
      <c r="J234" s="26">
        <f t="shared" si="88"/>
        <v>0</v>
      </c>
      <c r="K234" s="29" t="e">
        <f t="shared" si="80"/>
        <v>#DIV/0!</v>
      </c>
      <c r="L234" s="26">
        <v>0</v>
      </c>
      <c r="M234" s="26">
        <v>0</v>
      </c>
      <c r="N234" s="26">
        <v>0</v>
      </c>
      <c r="O234" s="26">
        <v>0</v>
      </c>
      <c r="P234" s="26">
        <v>0</v>
      </c>
      <c r="Q234" s="30">
        <v>0</v>
      </c>
      <c r="R234" s="31">
        <f t="shared" si="81"/>
        <v>0</v>
      </c>
      <c r="S234" s="206">
        <v>0</v>
      </c>
      <c r="T234" s="168">
        <f>S234/F234*100</f>
        <v>0</v>
      </c>
      <c r="U234" s="27" t="e">
        <f t="shared" si="89"/>
        <v>#DIV/0!</v>
      </c>
      <c r="V234" s="26">
        <v>5</v>
      </c>
      <c r="W234" s="32">
        <f t="shared" si="82"/>
        <v>10.204081632653061</v>
      </c>
    </row>
    <row r="235" spans="1:23" ht="9.75" customHeight="1">
      <c r="A235" s="298"/>
      <c r="B235" s="42" t="s">
        <v>97</v>
      </c>
      <c r="C235" s="26">
        <v>2267</v>
      </c>
      <c r="D235" s="26">
        <v>756</v>
      </c>
      <c r="E235" s="121">
        <f t="shared" si="85"/>
        <v>33.348037053374505</v>
      </c>
      <c r="F235" s="107">
        <v>679</v>
      </c>
      <c r="G235" s="27">
        <f t="shared" si="79"/>
        <v>89.81481481481481</v>
      </c>
      <c r="H235" s="26">
        <f t="shared" si="86"/>
        <v>15</v>
      </c>
      <c r="I235" s="29">
        <f t="shared" si="87"/>
        <v>2.2091310751104567</v>
      </c>
      <c r="J235" s="26">
        <f t="shared" si="88"/>
        <v>14</v>
      </c>
      <c r="K235" s="29">
        <f t="shared" si="80"/>
        <v>93.33333333333333</v>
      </c>
      <c r="L235" s="26">
        <v>8</v>
      </c>
      <c r="M235" s="26">
        <v>0</v>
      </c>
      <c r="N235" s="26">
        <v>0</v>
      </c>
      <c r="O235" s="26">
        <v>6</v>
      </c>
      <c r="P235" s="26">
        <v>0</v>
      </c>
      <c r="Q235" s="30">
        <v>1</v>
      </c>
      <c r="R235" s="31">
        <f t="shared" si="81"/>
        <v>0</v>
      </c>
      <c r="S235" s="206">
        <v>0</v>
      </c>
      <c r="T235" s="168">
        <f>S235/F235*100</f>
        <v>0</v>
      </c>
      <c r="U235" s="27">
        <f t="shared" si="89"/>
        <v>0</v>
      </c>
      <c r="V235" s="26">
        <v>5</v>
      </c>
      <c r="W235" s="32">
        <f t="shared" si="82"/>
        <v>0.7363770250368188</v>
      </c>
    </row>
    <row r="236" spans="1:23" ht="9.75" customHeight="1">
      <c r="A236" s="298"/>
      <c r="B236" s="41" t="s">
        <v>98</v>
      </c>
      <c r="C236" s="260"/>
      <c r="D236" s="260"/>
      <c r="E236" s="265"/>
      <c r="F236" s="108">
        <v>7</v>
      </c>
      <c r="G236" s="271"/>
      <c r="H236" s="105">
        <f t="shared" si="86"/>
        <v>0</v>
      </c>
      <c r="I236" s="106">
        <f t="shared" si="87"/>
        <v>0</v>
      </c>
      <c r="J236" s="105">
        <f t="shared" si="88"/>
        <v>0</v>
      </c>
      <c r="K236" s="106" t="e">
        <f t="shared" si="80"/>
        <v>#DIV/0!</v>
      </c>
      <c r="L236" s="105">
        <v>0</v>
      </c>
      <c r="M236" s="105">
        <v>0</v>
      </c>
      <c r="N236" s="105">
        <v>0</v>
      </c>
      <c r="O236" s="105">
        <v>0</v>
      </c>
      <c r="P236" s="105">
        <v>0</v>
      </c>
      <c r="Q236" s="115">
        <v>0</v>
      </c>
      <c r="R236" s="116">
        <f t="shared" si="81"/>
        <v>0</v>
      </c>
      <c r="S236" s="207">
        <v>0</v>
      </c>
      <c r="T236" s="208">
        <f>S236/F236*100</f>
        <v>0</v>
      </c>
      <c r="U236" s="104" t="e">
        <f t="shared" si="89"/>
        <v>#DIV/0!</v>
      </c>
      <c r="V236" s="105">
        <v>1</v>
      </c>
      <c r="W236" s="117">
        <f t="shared" si="82"/>
        <v>14.285714285714285</v>
      </c>
    </row>
    <row r="237" spans="1:23" ht="9.75" customHeight="1">
      <c r="A237" s="298"/>
      <c r="B237" s="209" t="s">
        <v>111</v>
      </c>
      <c r="C237" s="210">
        <f>SUM(C233,C235)</f>
        <v>4465</v>
      </c>
      <c r="D237" s="210">
        <f>SUM(D233,D235)</f>
        <v>1197</v>
      </c>
      <c r="E237" s="211">
        <f t="shared" si="85"/>
        <v>26.80851063829787</v>
      </c>
      <c r="F237" s="210">
        <f>SUM(F233,F235)</f>
        <v>1088</v>
      </c>
      <c r="G237" s="212">
        <f t="shared" si="79"/>
        <v>90.8939014202172</v>
      </c>
      <c r="H237" s="210">
        <f t="shared" si="86"/>
        <v>24</v>
      </c>
      <c r="I237" s="56">
        <f t="shared" si="87"/>
        <v>2.2058823529411766</v>
      </c>
      <c r="J237" s="210">
        <f t="shared" si="88"/>
        <v>23</v>
      </c>
      <c r="K237" s="56">
        <f t="shared" si="80"/>
        <v>95.83333333333334</v>
      </c>
      <c r="L237" s="210">
        <f aca="true" t="shared" si="95" ref="L237:Q238">SUM(L233,L235)</f>
        <v>12</v>
      </c>
      <c r="M237" s="210">
        <f t="shared" si="95"/>
        <v>2</v>
      </c>
      <c r="N237" s="210">
        <f t="shared" si="95"/>
        <v>0</v>
      </c>
      <c r="O237" s="210">
        <f t="shared" si="95"/>
        <v>9</v>
      </c>
      <c r="P237" s="210">
        <f t="shared" si="95"/>
        <v>0</v>
      </c>
      <c r="Q237" s="213">
        <f t="shared" si="95"/>
        <v>1</v>
      </c>
      <c r="R237" s="214">
        <f t="shared" si="81"/>
        <v>0.1838235294117647</v>
      </c>
      <c r="S237" s="210">
        <f>SUM(S233,S235)</f>
        <v>1</v>
      </c>
      <c r="T237" s="216">
        <f>S237/F237*100</f>
        <v>0.09191176470588235</v>
      </c>
      <c r="U237" s="212">
        <f t="shared" si="89"/>
        <v>8.695652173913043</v>
      </c>
      <c r="V237" s="210">
        <f>SUM(V233,V235)</f>
        <v>15</v>
      </c>
      <c r="W237" s="227">
        <f t="shared" si="82"/>
        <v>1.3786764705882353</v>
      </c>
    </row>
    <row r="238" spans="1:23" ht="9.75" customHeight="1">
      <c r="A238" s="298"/>
      <c r="B238" s="217" t="s">
        <v>112</v>
      </c>
      <c r="C238" s="266"/>
      <c r="D238" s="266"/>
      <c r="E238" s="268"/>
      <c r="F238" s="218">
        <f>SUM(F234,F236)</f>
        <v>56</v>
      </c>
      <c r="G238" s="273"/>
      <c r="H238" s="218">
        <f t="shared" si="86"/>
        <v>0</v>
      </c>
      <c r="I238" s="220">
        <f t="shared" si="87"/>
        <v>0</v>
      </c>
      <c r="J238" s="218">
        <f t="shared" si="88"/>
        <v>0</v>
      </c>
      <c r="K238" s="220" t="e">
        <f t="shared" si="80"/>
        <v>#DIV/0!</v>
      </c>
      <c r="L238" s="218">
        <f t="shared" si="95"/>
        <v>0</v>
      </c>
      <c r="M238" s="218">
        <f t="shared" si="95"/>
        <v>0</v>
      </c>
      <c r="N238" s="218">
        <f t="shared" si="95"/>
        <v>0</v>
      </c>
      <c r="O238" s="218">
        <f t="shared" si="95"/>
        <v>0</v>
      </c>
      <c r="P238" s="218">
        <f t="shared" si="95"/>
        <v>0</v>
      </c>
      <c r="Q238" s="221">
        <f t="shared" si="95"/>
        <v>0</v>
      </c>
      <c r="R238" s="222">
        <f t="shared" si="81"/>
        <v>0</v>
      </c>
      <c r="S238" s="218">
        <f>SUM(S234,S236)</f>
        <v>0</v>
      </c>
      <c r="T238" s="169">
        <f>S238/F238</f>
        <v>0</v>
      </c>
      <c r="U238" s="219" t="e">
        <f t="shared" si="89"/>
        <v>#DIV/0!</v>
      </c>
      <c r="V238" s="218">
        <f>SUM(V234,V236)</f>
        <v>6</v>
      </c>
      <c r="W238" s="338">
        <f t="shared" si="82"/>
        <v>10.714285714285714</v>
      </c>
    </row>
    <row r="239" spans="1:23" ht="9.75" customHeight="1">
      <c r="A239" s="298" t="s">
        <v>31</v>
      </c>
      <c r="B239" s="41" t="s">
        <v>96</v>
      </c>
      <c r="C239" s="111">
        <v>469</v>
      </c>
      <c r="D239" s="111">
        <v>211</v>
      </c>
      <c r="E239" s="121">
        <f t="shared" si="85"/>
        <v>44.989339019189764</v>
      </c>
      <c r="F239" s="122">
        <v>159</v>
      </c>
      <c r="G239" s="113">
        <f t="shared" si="79"/>
        <v>75.35545023696683</v>
      </c>
      <c r="H239" s="111">
        <f t="shared" si="86"/>
        <v>6</v>
      </c>
      <c r="I239" s="123">
        <f t="shared" si="87"/>
        <v>3.7735849056603774</v>
      </c>
      <c r="J239" s="111">
        <f t="shared" si="88"/>
        <v>5</v>
      </c>
      <c r="K239" s="123">
        <f t="shared" si="80"/>
        <v>83.33333333333334</v>
      </c>
      <c r="L239" s="111">
        <v>2</v>
      </c>
      <c r="M239" s="111">
        <v>0</v>
      </c>
      <c r="N239" s="111">
        <v>1</v>
      </c>
      <c r="O239" s="111">
        <v>2</v>
      </c>
      <c r="P239" s="111">
        <v>0</v>
      </c>
      <c r="Q239" s="124">
        <v>1</v>
      </c>
      <c r="R239" s="112">
        <f t="shared" si="81"/>
        <v>0</v>
      </c>
      <c r="S239" s="205">
        <v>1</v>
      </c>
      <c r="T239" s="112">
        <f>S239/F239*100</f>
        <v>0.628930817610063</v>
      </c>
      <c r="U239" s="113">
        <f t="shared" si="89"/>
        <v>0</v>
      </c>
      <c r="V239" s="111">
        <v>1</v>
      </c>
      <c r="W239" s="114">
        <f t="shared" si="82"/>
        <v>0.628930817610063</v>
      </c>
    </row>
    <row r="240" spans="1:23" ht="9.75" customHeight="1">
      <c r="A240" s="298"/>
      <c r="B240" s="42" t="s">
        <v>99</v>
      </c>
      <c r="C240" s="258"/>
      <c r="D240" s="258"/>
      <c r="E240" s="264"/>
      <c r="F240" s="107">
        <v>0</v>
      </c>
      <c r="G240" s="270"/>
      <c r="H240" s="26">
        <f t="shared" si="86"/>
        <v>0</v>
      </c>
      <c r="I240" s="29" t="e">
        <f t="shared" si="87"/>
        <v>#DIV/0!</v>
      </c>
      <c r="J240" s="26">
        <f t="shared" si="88"/>
        <v>0</v>
      </c>
      <c r="K240" s="29" t="e">
        <f t="shared" si="80"/>
        <v>#DIV/0!</v>
      </c>
      <c r="L240" s="26">
        <v>0</v>
      </c>
      <c r="M240" s="26">
        <v>0</v>
      </c>
      <c r="N240" s="26">
        <v>0</v>
      </c>
      <c r="O240" s="26">
        <v>0</v>
      </c>
      <c r="P240" s="26">
        <v>0</v>
      </c>
      <c r="Q240" s="30">
        <v>0</v>
      </c>
      <c r="R240" s="31" t="e">
        <f t="shared" si="81"/>
        <v>#DIV/0!</v>
      </c>
      <c r="S240" s="206">
        <v>0</v>
      </c>
      <c r="T240" s="168" t="e">
        <f>S240/F240*100</f>
        <v>#DIV/0!</v>
      </c>
      <c r="U240" s="27" t="e">
        <f t="shared" si="89"/>
        <v>#DIV/0!</v>
      </c>
      <c r="V240" s="26">
        <v>0</v>
      </c>
      <c r="W240" s="32" t="e">
        <f t="shared" si="82"/>
        <v>#DIV/0!</v>
      </c>
    </row>
    <row r="241" spans="1:23" ht="9.75" customHeight="1">
      <c r="A241" s="298"/>
      <c r="B241" s="42" t="s">
        <v>97</v>
      </c>
      <c r="C241" s="26">
        <v>584</v>
      </c>
      <c r="D241" s="26">
        <v>264</v>
      </c>
      <c r="E241" s="121">
        <f t="shared" si="85"/>
        <v>45.20547945205479</v>
      </c>
      <c r="F241" s="107">
        <v>193</v>
      </c>
      <c r="G241" s="27">
        <f t="shared" si="79"/>
        <v>73.10606060606061</v>
      </c>
      <c r="H241" s="26">
        <f t="shared" si="86"/>
        <v>7</v>
      </c>
      <c r="I241" s="29">
        <f t="shared" si="87"/>
        <v>3.6269430051813467</v>
      </c>
      <c r="J241" s="26">
        <f t="shared" si="88"/>
        <v>5</v>
      </c>
      <c r="K241" s="29">
        <f t="shared" si="80"/>
        <v>71.42857142857143</v>
      </c>
      <c r="L241" s="26">
        <v>3</v>
      </c>
      <c r="M241" s="26">
        <v>0</v>
      </c>
      <c r="N241" s="26">
        <v>0</v>
      </c>
      <c r="O241" s="26">
        <v>2</v>
      </c>
      <c r="P241" s="26">
        <v>0</v>
      </c>
      <c r="Q241" s="30">
        <v>2</v>
      </c>
      <c r="R241" s="31">
        <f t="shared" si="81"/>
        <v>0</v>
      </c>
      <c r="S241" s="206">
        <v>0</v>
      </c>
      <c r="T241" s="168">
        <f>S241/F241*100</f>
        <v>0</v>
      </c>
      <c r="U241" s="27">
        <f t="shared" si="89"/>
        <v>0</v>
      </c>
      <c r="V241" s="26">
        <v>1</v>
      </c>
      <c r="W241" s="32">
        <f t="shared" si="82"/>
        <v>0.5181347150259068</v>
      </c>
    </row>
    <row r="242" spans="1:23" ht="9.75" customHeight="1">
      <c r="A242" s="298"/>
      <c r="B242" s="41" t="s">
        <v>98</v>
      </c>
      <c r="C242" s="260"/>
      <c r="D242" s="260"/>
      <c r="E242" s="265"/>
      <c r="F242" s="108">
        <v>0</v>
      </c>
      <c r="G242" s="271"/>
      <c r="H242" s="105">
        <f t="shared" si="86"/>
        <v>0</v>
      </c>
      <c r="I242" s="106" t="e">
        <f t="shared" si="87"/>
        <v>#DIV/0!</v>
      </c>
      <c r="J242" s="105">
        <f t="shared" si="88"/>
        <v>0</v>
      </c>
      <c r="K242" s="106" t="e">
        <f t="shared" si="80"/>
        <v>#DIV/0!</v>
      </c>
      <c r="L242" s="252">
        <v>0</v>
      </c>
      <c r="M242" s="252">
        <v>0</v>
      </c>
      <c r="N242" s="252">
        <v>0</v>
      </c>
      <c r="O242" s="252">
        <v>0</v>
      </c>
      <c r="P242" s="252">
        <v>0</v>
      </c>
      <c r="Q242" s="257">
        <v>0</v>
      </c>
      <c r="R242" s="116" t="e">
        <f t="shared" si="81"/>
        <v>#DIV/0!</v>
      </c>
      <c r="S242" s="207">
        <v>0</v>
      </c>
      <c r="T242" s="208" t="e">
        <f>S242/F242*100</f>
        <v>#DIV/0!</v>
      </c>
      <c r="U242" s="104" t="e">
        <f t="shared" si="89"/>
        <v>#DIV/0!</v>
      </c>
      <c r="V242" s="105">
        <v>0</v>
      </c>
      <c r="W242" s="117" t="e">
        <f t="shared" si="82"/>
        <v>#DIV/0!</v>
      </c>
    </row>
    <row r="243" spans="1:23" ht="9.75" customHeight="1">
      <c r="A243" s="299"/>
      <c r="B243" s="209" t="s">
        <v>111</v>
      </c>
      <c r="C243" s="210">
        <f>SUM(C239,C241)</f>
        <v>1053</v>
      </c>
      <c r="D243" s="210">
        <f>SUM(D239,D241)</f>
        <v>475</v>
      </c>
      <c r="E243" s="211">
        <f t="shared" si="85"/>
        <v>45.10921177587844</v>
      </c>
      <c r="F243" s="210">
        <f>SUM(F239,F241)</f>
        <v>352</v>
      </c>
      <c r="G243" s="212">
        <f t="shared" si="79"/>
        <v>74.10526315789474</v>
      </c>
      <c r="H243" s="210">
        <f t="shared" si="86"/>
        <v>13</v>
      </c>
      <c r="I243" s="56">
        <f t="shared" si="87"/>
        <v>3.6931818181818183</v>
      </c>
      <c r="J243" s="210">
        <f t="shared" si="88"/>
        <v>10</v>
      </c>
      <c r="K243" s="56">
        <f t="shared" si="80"/>
        <v>76.92307692307693</v>
      </c>
      <c r="L243" s="210">
        <f aca="true" t="shared" si="96" ref="L243:Q244">SUM(L239,L241)</f>
        <v>5</v>
      </c>
      <c r="M243" s="210">
        <f t="shared" si="96"/>
        <v>0</v>
      </c>
      <c r="N243" s="210">
        <f t="shared" si="96"/>
        <v>1</v>
      </c>
      <c r="O243" s="210">
        <f t="shared" si="96"/>
        <v>4</v>
      </c>
      <c r="P243" s="210">
        <f t="shared" si="96"/>
        <v>0</v>
      </c>
      <c r="Q243" s="213">
        <f t="shared" si="96"/>
        <v>3</v>
      </c>
      <c r="R243" s="214">
        <f t="shared" si="81"/>
        <v>0</v>
      </c>
      <c r="S243" s="210">
        <f>SUM(S239,S241)</f>
        <v>1</v>
      </c>
      <c r="T243" s="216">
        <f>S243/F243*100</f>
        <v>0.2840909090909091</v>
      </c>
      <c r="U243" s="212">
        <f t="shared" si="89"/>
        <v>0</v>
      </c>
      <c r="V243" s="210">
        <f>SUM(V239,V241)</f>
        <v>2</v>
      </c>
      <c r="W243" s="227">
        <f t="shared" si="82"/>
        <v>0.5681818181818182</v>
      </c>
    </row>
    <row r="244" spans="1:23" ht="9.75" customHeight="1" thickBot="1">
      <c r="A244" s="299"/>
      <c r="B244" s="231" t="s">
        <v>112</v>
      </c>
      <c r="C244" s="262"/>
      <c r="D244" s="262"/>
      <c r="E244" s="263"/>
      <c r="F244" s="232">
        <f>SUM(F240,F242)</f>
        <v>0</v>
      </c>
      <c r="G244" s="272"/>
      <c r="H244" s="232">
        <f t="shared" si="86"/>
        <v>0</v>
      </c>
      <c r="I244" s="93" t="e">
        <f t="shared" si="87"/>
        <v>#DIV/0!</v>
      </c>
      <c r="J244" s="232">
        <f t="shared" si="88"/>
        <v>0</v>
      </c>
      <c r="K244" s="93" t="e">
        <f t="shared" si="80"/>
        <v>#DIV/0!</v>
      </c>
      <c r="L244" s="232">
        <f t="shared" si="96"/>
        <v>0</v>
      </c>
      <c r="M244" s="232">
        <f t="shared" si="96"/>
        <v>0</v>
      </c>
      <c r="N244" s="232">
        <f t="shared" si="96"/>
        <v>0</v>
      </c>
      <c r="O244" s="232">
        <f t="shared" si="96"/>
        <v>0</v>
      </c>
      <c r="P244" s="232">
        <f t="shared" si="96"/>
        <v>0</v>
      </c>
      <c r="Q244" s="234">
        <f t="shared" si="96"/>
        <v>0</v>
      </c>
      <c r="R244" s="235" t="e">
        <f t="shared" si="81"/>
        <v>#DIV/0!</v>
      </c>
      <c r="S244" s="232">
        <f>SUM(S240,S242)</f>
        <v>0</v>
      </c>
      <c r="T244" s="236" t="e">
        <f>S244/F244</f>
        <v>#DIV/0!</v>
      </c>
      <c r="U244" s="233" t="e">
        <f t="shared" si="89"/>
        <v>#DIV/0!</v>
      </c>
      <c r="V244" s="232">
        <f>SUM(V240,V242)</f>
        <v>0</v>
      </c>
      <c r="W244" s="339" t="e">
        <f t="shared" si="82"/>
        <v>#DIV/0!</v>
      </c>
    </row>
    <row r="245" spans="1:23" ht="9.75" customHeight="1">
      <c r="A245" s="300" t="s">
        <v>41</v>
      </c>
      <c r="B245" s="118" t="s">
        <v>96</v>
      </c>
      <c r="C245" s="125">
        <f>SUM(C221,C227,C233,C239)</f>
        <v>15236</v>
      </c>
      <c r="D245" s="125">
        <f>SUM(D221,D227,D233,D239)</f>
        <v>4580</v>
      </c>
      <c r="E245" s="126">
        <f t="shared" si="85"/>
        <v>30.060383302704125</v>
      </c>
      <c r="F245" s="125">
        <f>SUM(F221,F227,F233,F239)</f>
        <v>3551</v>
      </c>
      <c r="G245" s="127">
        <f t="shared" si="79"/>
        <v>77.53275109170306</v>
      </c>
      <c r="H245" s="125">
        <f t="shared" si="86"/>
        <v>40</v>
      </c>
      <c r="I245" s="128">
        <f t="shared" si="87"/>
        <v>1.1264432554210082</v>
      </c>
      <c r="J245" s="125">
        <f t="shared" si="88"/>
        <v>34</v>
      </c>
      <c r="K245" s="128">
        <f t="shared" si="80"/>
        <v>85</v>
      </c>
      <c r="L245" s="125">
        <f aca="true" t="shared" si="97" ref="L245:Q248">SUM(L221,L227,L233,L239)</f>
        <v>12</v>
      </c>
      <c r="M245" s="125">
        <f t="shared" si="97"/>
        <v>5</v>
      </c>
      <c r="N245" s="125">
        <f t="shared" si="97"/>
        <v>2</v>
      </c>
      <c r="O245" s="125">
        <f t="shared" si="97"/>
        <v>15</v>
      </c>
      <c r="P245" s="125">
        <f t="shared" si="97"/>
        <v>1</v>
      </c>
      <c r="Q245" s="129">
        <f t="shared" si="97"/>
        <v>5</v>
      </c>
      <c r="R245" s="130">
        <f t="shared" si="81"/>
        <v>0.14080540692762603</v>
      </c>
      <c r="S245" s="125">
        <f>SUM(S221,S227,S233,S239)</f>
        <v>2</v>
      </c>
      <c r="T245" s="130">
        <f>S245/F245*100</f>
        <v>0.056322162771050406</v>
      </c>
      <c r="U245" s="127">
        <f t="shared" si="89"/>
        <v>14.705882352941178</v>
      </c>
      <c r="V245" s="125">
        <f>SUM(V221,V227,V233,V239)</f>
        <v>490</v>
      </c>
      <c r="W245" s="131">
        <f t="shared" si="82"/>
        <v>13.798929878907352</v>
      </c>
    </row>
    <row r="246" spans="1:23" ht="9.75" customHeight="1">
      <c r="A246" s="301"/>
      <c r="B246" s="119" t="s">
        <v>99</v>
      </c>
      <c r="C246" s="258"/>
      <c r="D246" s="258"/>
      <c r="E246" s="264"/>
      <c r="F246" s="20">
        <f>SUM(F222,F228,F234,F240)</f>
        <v>310</v>
      </c>
      <c r="G246" s="270"/>
      <c r="H246" s="20">
        <f t="shared" si="86"/>
        <v>1</v>
      </c>
      <c r="I246" s="22">
        <f t="shared" si="87"/>
        <v>0.3225806451612903</v>
      </c>
      <c r="J246" s="20">
        <f t="shared" si="88"/>
        <v>1</v>
      </c>
      <c r="K246" s="22">
        <f t="shared" si="80"/>
        <v>100</v>
      </c>
      <c r="L246" s="20">
        <f t="shared" si="97"/>
        <v>0</v>
      </c>
      <c r="M246" s="20">
        <f t="shared" si="97"/>
        <v>0</v>
      </c>
      <c r="N246" s="20">
        <f t="shared" si="97"/>
        <v>0</v>
      </c>
      <c r="O246" s="20">
        <f t="shared" si="97"/>
        <v>1</v>
      </c>
      <c r="P246" s="20">
        <f t="shared" si="97"/>
        <v>0</v>
      </c>
      <c r="Q246" s="23">
        <f t="shared" si="97"/>
        <v>0</v>
      </c>
      <c r="R246" s="24">
        <f t="shared" si="81"/>
        <v>0</v>
      </c>
      <c r="S246" s="20">
        <f>SUM(S222,S228,S234,S240)</f>
        <v>0</v>
      </c>
      <c r="T246" s="166">
        <f>S246/F246*100</f>
        <v>0</v>
      </c>
      <c r="U246" s="21">
        <f t="shared" si="89"/>
        <v>0</v>
      </c>
      <c r="V246" s="20">
        <f>SUM(V222,V228,V234,V240)</f>
        <v>94</v>
      </c>
      <c r="W246" s="25">
        <f t="shared" si="82"/>
        <v>30.32258064516129</v>
      </c>
    </row>
    <row r="247" spans="1:23" ht="9.75" customHeight="1">
      <c r="A247" s="301"/>
      <c r="B247" s="119" t="s">
        <v>97</v>
      </c>
      <c r="C247" s="20">
        <f>SUM(C223,C229,C235,C241)</f>
        <v>18004</v>
      </c>
      <c r="D247" s="20">
        <f>SUM(D223,D229,D235,D241)</f>
        <v>6585</v>
      </c>
      <c r="E247" s="237">
        <f t="shared" si="85"/>
        <v>36.57520550988669</v>
      </c>
      <c r="F247" s="20">
        <f>SUM(F223,F229,F235,F241)</f>
        <v>5417</v>
      </c>
      <c r="G247" s="21">
        <f t="shared" si="79"/>
        <v>82.26271829916477</v>
      </c>
      <c r="H247" s="20">
        <f t="shared" si="86"/>
        <v>50</v>
      </c>
      <c r="I247" s="22">
        <f t="shared" si="87"/>
        <v>0.9230201218386561</v>
      </c>
      <c r="J247" s="20">
        <f t="shared" si="88"/>
        <v>44</v>
      </c>
      <c r="K247" s="22">
        <f t="shared" si="80"/>
        <v>88</v>
      </c>
      <c r="L247" s="20">
        <f t="shared" si="97"/>
        <v>25</v>
      </c>
      <c r="M247" s="20">
        <f t="shared" si="97"/>
        <v>1</v>
      </c>
      <c r="N247" s="20">
        <f t="shared" si="97"/>
        <v>1</v>
      </c>
      <c r="O247" s="20">
        <f t="shared" si="97"/>
        <v>17</v>
      </c>
      <c r="P247" s="20">
        <f t="shared" si="97"/>
        <v>0</v>
      </c>
      <c r="Q247" s="23">
        <f t="shared" si="97"/>
        <v>6</v>
      </c>
      <c r="R247" s="24">
        <f t="shared" si="81"/>
        <v>0.018460402436773122</v>
      </c>
      <c r="S247" s="20">
        <f>SUM(S223,S229,S235,S241)</f>
        <v>0</v>
      </c>
      <c r="T247" s="166">
        <f>S247/F247*100</f>
        <v>0</v>
      </c>
      <c r="U247" s="21">
        <f t="shared" si="89"/>
        <v>2.272727272727273</v>
      </c>
      <c r="V247" s="20">
        <f>SUM(V223,V229,V235,V241)</f>
        <v>630</v>
      </c>
      <c r="W247" s="25">
        <f t="shared" si="82"/>
        <v>11.630053535167066</v>
      </c>
    </row>
    <row r="248" spans="1:23" ht="9.75">
      <c r="A248" s="301"/>
      <c r="B248" s="223" t="s">
        <v>98</v>
      </c>
      <c r="C248" s="260"/>
      <c r="D248" s="260"/>
      <c r="E248" s="265"/>
      <c r="F248" s="133">
        <f>SUM(F224,F230,F236,F242)</f>
        <v>25</v>
      </c>
      <c r="G248" s="271"/>
      <c r="H248" s="133">
        <f t="shared" si="86"/>
        <v>0</v>
      </c>
      <c r="I248" s="135">
        <f t="shared" si="87"/>
        <v>0</v>
      </c>
      <c r="J248" s="133">
        <f t="shared" si="88"/>
        <v>0</v>
      </c>
      <c r="K248" s="135" t="e">
        <f t="shared" si="80"/>
        <v>#DIV/0!</v>
      </c>
      <c r="L248" s="133">
        <f t="shared" si="97"/>
        <v>0</v>
      </c>
      <c r="M248" s="133">
        <f t="shared" si="97"/>
        <v>0</v>
      </c>
      <c r="N248" s="133">
        <f t="shared" si="97"/>
        <v>0</v>
      </c>
      <c r="O248" s="133">
        <f t="shared" si="97"/>
        <v>0</v>
      </c>
      <c r="P248" s="133">
        <f t="shared" si="97"/>
        <v>0</v>
      </c>
      <c r="Q248" s="256">
        <f t="shared" si="97"/>
        <v>0</v>
      </c>
      <c r="R248" s="136">
        <f t="shared" si="81"/>
        <v>0</v>
      </c>
      <c r="S248" s="133">
        <f>SUM(S224,S230,S236,S242)</f>
        <v>0</v>
      </c>
      <c r="T248" s="167">
        <f>S248/F248*100</f>
        <v>0</v>
      </c>
      <c r="U248" s="134" t="e">
        <f t="shared" si="89"/>
        <v>#DIV/0!</v>
      </c>
      <c r="V248" s="133">
        <f>SUM(V224,V230,V236,V242)</f>
        <v>13</v>
      </c>
      <c r="W248" s="137">
        <f t="shared" si="82"/>
        <v>52</v>
      </c>
    </row>
    <row r="249" spans="1:23" ht="9.75">
      <c r="A249" s="302"/>
      <c r="B249" s="228" t="s">
        <v>111</v>
      </c>
      <c r="C249" s="238">
        <f>SUM(C245,C247)</f>
        <v>33240</v>
      </c>
      <c r="D249" s="238">
        <f>SUM(D245,D247)</f>
        <v>11165</v>
      </c>
      <c r="E249" s="253">
        <f t="shared" si="85"/>
        <v>33.58904933814681</v>
      </c>
      <c r="F249" s="238">
        <f>SUM(F245,F247)</f>
        <v>8968</v>
      </c>
      <c r="G249" s="239">
        <f t="shared" si="79"/>
        <v>80.32243618450515</v>
      </c>
      <c r="H249" s="238">
        <f t="shared" si="86"/>
        <v>90</v>
      </c>
      <c r="I249" s="240">
        <f t="shared" si="87"/>
        <v>1.0035682426404995</v>
      </c>
      <c r="J249" s="238">
        <f t="shared" si="88"/>
        <v>78</v>
      </c>
      <c r="K249" s="240">
        <f t="shared" si="80"/>
        <v>86.66666666666667</v>
      </c>
      <c r="L249" s="238">
        <f aca="true" t="shared" si="98" ref="L249:Q250">SUM(L245,L247)</f>
        <v>37</v>
      </c>
      <c r="M249" s="238">
        <f t="shared" si="98"/>
        <v>6</v>
      </c>
      <c r="N249" s="238">
        <f t="shared" si="98"/>
        <v>3</v>
      </c>
      <c r="O249" s="238">
        <f t="shared" si="98"/>
        <v>32</v>
      </c>
      <c r="P249" s="238">
        <f t="shared" si="98"/>
        <v>1</v>
      </c>
      <c r="Q249" s="241">
        <f t="shared" si="98"/>
        <v>11</v>
      </c>
      <c r="R249" s="242">
        <f t="shared" si="81"/>
        <v>0.06690454950936663</v>
      </c>
      <c r="S249" s="238">
        <f>SUM(S245,S247)</f>
        <v>2</v>
      </c>
      <c r="T249" s="243">
        <f>S249/F249*100</f>
        <v>0.022301516503122214</v>
      </c>
      <c r="U249" s="239">
        <f t="shared" si="89"/>
        <v>7.6923076923076925</v>
      </c>
      <c r="V249" s="238">
        <f>SUM(V245,V247)</f>
        <v>1120</v>
      </c>
      <c r="W249" s="244">
        <f t="shared" si="82"/>
        <v>12.488849241748438</v>
      </c>
    </row>
    <row r="250" spans="1:23" ht="9.75" customHeight="1" thickBot="1">
      <c r="A250" s="303"/>
      <c r="B250" s="229" t="s">
        <v>112</v>
      </c>
      <c r="C250" s="262"/>
      <c r="D250" s="262"/>
      <c r="E250" s="263"/>
      <c r="F250" s="245">
        <f>SUM(F246,F248)</f>
        <v>335</v>
      </c>
      <c r="G250" s="272"/>
      <c r="H250" s="245">
        <f t="shared" si="86"/>
        <v>1</v>
      </c>
      <c r="I250" s="247">
        <f t="shared" si="87"/>
        <v>0.2985074626865672</v>
      </c>
      <c r="J250" s="245">
        <f t="shared" si="88"/>
        <v>1</v>
      </c>
      <c r="K250" s="247">
        <f t="shared" si="80"/>
        <v>100</v>
      </c>
      <c r="L250" s="245">
        <f t="shared" si="98"/>
        <v>0</v>
      </c>
      <c r="M250" s="245">
        <f t="shared" si="98"/>
        <v>0</v>
      </c>
      <c r="N250" s="245">
        <f t="shared" si="98"/>
        <v>0</v>
      </c>
      <c r="O250" s="245">
        <f t="shared" si="98"/>
        <v>1</v>
      </c>
      <c r="P250" s="245">
        <f t="shared" si="98"/>
        <v>0</v>
      </c>
      <c r="Q250" s="248">
        <f t="shared" si="98"/>
        <v>0</v>
      </c>
      <c r="R250" s="249">
        <f t="shared" si="81"/>
        <v>0</v>
      </c>
      <c r="S250" s="245">
        <f>SUM(S246,S248)</f>
        <v>0</v>
      </c>
      <c r="T250" s="250">
        <f>S250/F250</f>
        <v>0</v>
      </c>
      <c r="U250" s="246">
        <f t="shared" si="89"/>
        <v>0</v>
      </c>
      <c r="V250" s="245">
        <f>SUM(V246,V248)</f>
        <v>107</v>
      </c>
      <c r="W250" s="251">
        <f t="shared" si="82"/>
        <v>31.94029850746269</v>
      </c>
    </row>
  </sheetData>
  <mergeCells count="47">
    <mergeCell ref="A245:A250"/>
    <mergeCell ref="A5:A10"/>
    <mergeCell ref="A2:B4"/>
    <mergeCell ref="F2:I2"/>
    <mergeCell ref="A215:A220"/>
    <mergeCell ref="A239:A244"/>
    <mergeCell ref="A233:A238"/>
    <mergeCell ref="A227:A232"/>
    <mergeCell ref="A221:A226"/>
    <mergeCell ref="A209:A214"/>
    <mergeCell ref="J2:K2"/>
    <mergeCell ref="L2:O2"/>
    <mergeCell ref="V2:W2"/>
    <mergeCell ref="A203:A208"/>
    <mergeCell ref="A197:A202"/>
    <mergeCell ref="A191:A196"/>
    <mergeCell ref="A185:A190"/>
    <mergeCell ref="A155:A160"/>
    <mergeCell ref="A161:A166"/>
    <mergeCell ref="A167:A172"/>
    <mergeCell ref="A179:A184"/>
    <mergeCell ref="A143:A148"/>
    <mergeCell ref="A149:A154"/>
    <mergeCell ref="R2:T2"/>
    <mergeCell ref="A173:A178"/>
    <mergeCell ref="A107:A112"/>
    <mergeCell ref="A137:A142"/>
    <mergeCell ref="A131:A136"/>
    <mergeCell ref="A125:A130"/>
    <mergeCell ref="A119:A124"/>
    <mergeCell ref="A113:A118"/>
    <mergeCell ref="A77:A82"/>
    <mergeCell ref="A71:A76"/>
    <mergeCell ref="A101:A106"/>
    <mergeCell ref="A95:A100"/>
    <mergeCell ref="A89:A94"/>
    <mergeCell ref="A83:A88"/>
    <mergeCell ref="A53:A58"/>
    <mergeCell ref="A47:A52"/>
    <mergeCell ref="A41:A46"/>
    <mergeCell ref="A65:A70"/>
    <mergeCell ref="A59:A64"/>
    <mergeCell ref="A11:A16"/>
    <mergeCell ref="A35:A40"/>
    <mergeCell ref="A29:A34"/>
    <mergeCell ref="A23:A28"/>
    <mergeCell ref="A17:A22"/>
  </mergeCells>
  <printOptions/>
  <pageMargins left="0.7874015748031497" right="0.3937007874015748" top="0.7874015748031497" bottom="0.7874015748031497" header="0" footer="0"/>
  <pageSetup horizontalDpi="600" verticalDpi="600" orientation="landscape" paperSize="9" scale="82" r:id="rId1"/>
  <rowBreaks count="4" manualBreakCount="4">
    <brk id="58" max="22" man="1"/>
    <brk id="112" max="255" man="1"/>
    <brk id="172" max="255" man="1"/>
    <brk id="2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67"/>
  <sheetViews>
    <sheetView view="pageBreakPreview" zoomScale="125" zoomScaleNormal="130" zoomScaleSheetLayoutView="125" workbookViewId="0" topLeftCell="A37">
      <selection activeCell="D67" sqref="D67"/>
    </sheetView>
  </sheetViews>
  <sheetFormatPr defaultColWidth="9.00390625" defaultRowHeight="9.75" customHeight="1"/>
  <cols>
    <col min="1" max="1" width="3.625" style="2" customWidth="1"/>
    <col min="2" max="2" width="6.625" style="58" customWidth="1"/>
    <col min="3" max="3" width="4.75390625" style="58" customWidth="1"/>
    <col min="4" max="4" width="7.625" style="2" customWidth="1"/>
    <col min="5" max="5" width="6.625" style="2" customWidth="1"/>
    <col min="6" max="6" width="6.125" style="3" customWidth="1"/>
    <col min="7" max="7" width="6.125" style="2" customWidth="1"/>
    <col min="8" max="8" width="4.625" style="3" customWidth="1"/>
    <col min="9" max="9" width="5.625" style="2" customWidth="1"/>
    <col min="10" max="10" width="5.625" style="3" customWidth="1"/>
    <col min="11" max="11" width="6.125" style="2" customWidth="1"/>
    <col min="12" max="12" width="5.625" style="3" customWidth="1"/>
    <col min="13" max="15" width="5.625" style="2" customWidth="1"/>
    <col min="16" max="16" width="7.125" style="2" customWidth="1"/>
    <col min="17" max="17" width="5.625" style="2" customWidth="1"/>
    <col min="18" max="18" width="6.125" style="2" customWidth="1"/>
    <col min="19" max="21" width="5.625" style="4" customWidth="1"/>
    <col min="22" max="22" width="5.625" style="3" customWidth="1"/>
    <col min="23" max="23" width="6.125" style="2" customWidth="1"/>
    <col min="24" max="24" width="5.625" style="3" customWidth="1"/>
    <col min="25" max="25" width="12.875" style="2" customWidth="1"/>
    <col min="26" max="26" width="12.625" style="2" customWidth="1"/>
    <col min="27" max="29" width="11.625" style="2" customWidth="1"/>
    <col min="30" max="16384" width="9.00390625" style="2" customWidth="1"/>
  </cols>
  <sheetData>
    <row r="1" ht="15" customHeight="1" thickBot="1">
      <c r="A1" s="40" t="s">
        <v>109</v>
      </c>
    </row>
    <row r="2" spans="1:24" s="57" customFormat="1" ht="9" customHeight="1">
      <c r="A2" s="328"/>
      <c r="B2" s="329"/>
      <c r="C2" s="330"/>
      <c r="D2" s="62"/>
      <c r="E2" s="62"/>
      <c r="F2" s="6"/>
      <c r="G2" s="320" t="s">
        <v>44</v>
      </c>
      <c r="H2" s="321"/>
      <c r="I2" s="321"/>
      <c r="J2" s="308"/>
      <c r="K2" s="307" t="s">
        <v>45</v>
      </c>
      <c r="L2" s="308"/>
      <c r="M2" s="307" t="s">
        <v>46</v>
      </c>
      <c r="N2" s="321"/>
      <c r="O2" s="321"/>
      <c r="P2" s="308"/>
      <c r="Q2" s="63"/>
      <c r="R2" s="178"/>
      <c r="S2" s="325" t="s">
        <v>106</v>
      </c>
      <c r="T2" s="326"/>
      <c r="U2" s="327"/>
      <c r="V2" s="51"/>
      <c r="W2" s="312" t="s">
        <v>0</v>
      </c>
      <c r="X2" s="313"/>
    </row>
    <row r="3" spans="1:24" s="57" customFormat="1" ht="30" customHeight="1">
      <c r="A3" s="331"/>
      <c r="B3" s="332"/>
      <c r="C3" s="333"/>
      <c r="D3" s="64" t="s">
        <v>83</v>
      </c>
      <c r="E3" s="64" t="s">
        <v>47</v>
      </c>
      <c r="F3" s="11" t="s">
        <v>48</v>
      </c>
      <c r="G3" s="65" t="s">
        <v>49</v>
      </c>
      <c r="H3" s="14" t="s">
        <v>50</v>
      </c>
      <c r="I3" s="64" t="s">
        <v>51</v>
      </c>
      <c r="J3" s="14" t="s">
        <v>52</v>
      </c>
      <c r="K3" s="64" t="s">
        <v>49</v>
      </c>
      <c r="L3" s="14" t="s">
        <v>50</v>
      </c>
      <c r="M3" s="64" t="s">
        <v>53</v>
      </c>
      <c r="N3" s="64" t="s">
        <v>54</v>
      </c>
      <c r="O3" s="64" t="s">
        <v>55</v>
      </c>
      <c r="P3" s="64" t="s">
        <v>56</v>
      </c>
      <c r="Q3" s="64" t="s">
        <v>57</v>
      </c>
      <c r="R3" s="66" t="s">
        <v>58</v>
      </c>
      <c r="S3" s="17" t="s">
        <v>59</v>
      </c>
      <c r="T3" s="179" t="s">
        <v>100</v>
      </c>
      <c r="U3" s="55" t="s">
        <v>102</v>
      </c>
      <c r="V3" s="14" t="s">
        <v>60</v>
      </c>
      <c r="W3" s="73" t="s">
        <v>61</v>
      </c>
      <c r="X3" s="71" t="s">
        <v>62</v>
      </c>
    </row>
    <row r="4" spans="1:24" s="57" customFormat="1" ht="9" customHeight="1" thickBot="1">
      <c r="A4" s="334"/>
      <c r="B4" s="335"/>
      <c r="C4" s="336"/>
      <c r="D4" s="67" t="s">
        <v>63</v>
      </c>
      <c r="E4" s="68" t="s">
        <v>64</v>
      </c>
      <c r="F4" s="44" t="s">
        <v>65</v>
      </c>
      <c r="G4" s="69" t="s">
        <v>66</v>
      </c>
      <c r="H4" s="46" t="s">
        <v>67</v>
      </c>
      <c r="I4" s="67" t="s">
        <v>68</v>
      </c>
      <c r="J4" s="46" t="s">
        <v>69</v>
      </c>
      <c r="K4" s="67" t="s">
        <v>70</v>
      </c>
      <c r="L4" s="46" t="s">
        <v>71</v>
      </c>
      <c r="M4" s="67"/>
      <c r="N4" s="67" t="s">
        <v>72</v>
      </c>
      <c r="O4" s="67"/>
      <c r="P4" s="67"/>
      <c r="Q4" s="67"/>
      <c r="R4" s="70"/>
      <c r="S4" s="101" t="s">
        <v>73</v>
      </c>
      <c r="T4" s="164" t="s">
        <v>101</v>
      </c>
      <c r="U4" s="164" t="s">
        <v>103</v>
      </c>
      <c r="V4" s="46" t="s">
        <v>74</v>
      </c>
      <c r="W4" s="68" t="s">
        <v>107</v>
      </c>
      <c r="X4" s="72" t="s">
        <v>108</v>
      </c>
    </row>
    <row r="5" spans="1:24" ht="9.75" customHeight="1">
      <c r="A5" s="322" t="s">
        <v>77</v>
      </c>
      <c r="B5" s="74" t="s">
        <v>76</v>
      </c>
      <c r="C5" s="75"/>
      <c r="D5" s="76">
        <f>21225+14203+3072+2543+2142+4474+734+770+1230+3783+1155</f>
        <v>55331</v>
      </c>
      <c r="E5" s="76">
        <f>4026+1249+336+432+164+804+104+156+129+404+115</f>
        <v>7919</v>
      </c>
      <c r="F5" s="90">
        <f>E5/D5*100</f>
        <v>14.312049303283874</v>
      </c>
      <c r="G5" s="50">
        <f>317+101+81+80+27+134+14+23+60+80+54</f>
        <v>971</v>
      </c>
      <c r="H5" s="92">
        <f>G5/E5*100</f>
        <v>12.261649198131078</v>
      </c>
      <c r="I5" s="54">
        <f>SUM(M5:R5)</f>
        <v>13</v>
      </c>
      <c r="J5" s="92">
        <f>I5/G5*100</f>
        <v>1.3388259526261586</v>
      </c>
      <c r="K5" s="54">
        <f>SUM(M5:P5)</f>
        <v>10</v>
      </c>
      <c r="L5" s="92">
        <f>K5/I5*100</f>
        <v>76.92307692307693</v>
      </c>
      <c r="M5" s="54">
        <f>1+3+2</f>
        <v>6</v>
      </c>
      <c r="N5" s="54">
        <v>0</v>
      </c>
      <c r="O5" s="54">
        <v>0</v>
      </c>
      <c r="P5" s="54">
        <f>1+1+2</f>
        <v>4</v>
      </c>
      <c r="Q5" s="54">
        <v>1</v>
      </c>
      <c r="R5" s="141">
        <f>1+1</f>
        <v>2</v>
      </c>
      <c r="S5" s="147">
        <f>N5/G5*100</f>
        <v>0</v>
      </c>
      <c r="T5" s="274">
        <v>0</v>
      </c>
      <c r="U5" s="171">
        <f>T5/G5</f>
        <v>0</v>
      </c>
      <c r="V5" s="92">
        <f>N5/K5*100</f>
        <v>0</v>
      </c>
      <c r="W5" s="76">
        <f>226+47+22+31+16+42+9+8+22+39+18</f>
        <v>480</v>
      </c>
      <c r="X5" s="153">
        <f aca="true" t="shared" si="0" ref="X5:X28">W5/G5*100</f>
        <v>49.43357363542739</v>
      </c>
    </row>
    <row r="6" spans="1:24" ht="9.75" customHeight="1">
      <c r="A6" s="323"/>
      <c r="B6" s="77" t="s">
        <v>1</v>
      </c>
      <c r="C6" s="78"/>
      <c r="D6" s="79">
        <f>19983+12831+3356+2723+2284+4538+978+978+1441+4363+1341</f>
        <v>54816</v>
      </c>
      <c r="E6" s="79">
        <f>4035+1260+353+183+177+809+131+166+195+500+168</f>
        <v>7977</v>
      </c>
      <c r="F6" s="91">
        <f>E6/D6*100</f>
        <v>14.552320490367777</v>
      </c>
      <c r="G6" s="80">
        <f>362+106+108+77+30+148+26+28+102+127+82</f>
        <v>1196</v>
      </c>
      <c r="H6" s="29">
        <f aca="true" t="shared" si="1" ref="H6:H14">G6/E6*100</f>
        <v>14.993105177384983</v>
      </c>
      <c r="I6" s="28">
        <f aca="true" t="shared" si="2" ref="I6:I14">SUM(M6:R6)</f>
        <v>23</v>
      </c>
      <c r="J6" s="29">
        <f aca="true" t="shared" si="3" ref="J6:J14">I6/G6*100</f>
        <v>1.9230769230769231</v>
      </c>
      <c r="K6" s="28">
        <f aca="true" t="shared" si="4" ref="K6:K14">SUM(M6:P6)</f>
        <v>14</v>
      </c>
      <c r="L6" s="29">
        <f aca="true" t="shared" si="5" ref="L6:L14">K6/I6*100</f>
        <v>60.86956521739131</v>
      </c>
      <c r="M6" s="28">
        <f>4+1+1+1+1+1</f>
        <v>9</v>
      </c>
      <c r="N6" s="28">
        <v>0</v>
      </c>
      <c r="O6" s="28">
        <v>0</v>
      </c>
      <c r="P6" s="28">
        <f>2+1+1+1</f>
        <v>5</v>
      </c>
      <c r="Q6" s="28">
        <v>2</v>
      </c>
      <c r="R6" s="142">
        <f>3+1+3</f>
        <v>7</v>
      </c>
      <c r="S6" s="148">
        <f aca="true" t="shared" si="6" ref="S6:S16">N6/G6*100</f>
        <v>0</v>
      </c>
      <c r="T6" s="275">
        <v>0</v>
      </c>
      <c r="U6" s="172">
        <f aca="true" t="shared" si="7" ref="U6:U16">T6/G6</f>
        <v>0</v>
      </c>
      <c r="V6" s="29">
        <f aca="true" t="shared" si="8" ref="V6:V16">N6/K6*100</f>
        <v>0</v>
      </c>
      <c r="W6" s="79">
        <f>171+26+34+10+5+38+4+8+24+38+20</f>
        <v>378</v>
      </c>
      <c r="X6" s="154">
        <f t="shared" si="0"/>
        <v>31.605351170568564</v>
      </c>
    </row>
    <row r="7" spans="1:24" ht="9.75" customHeight="1">
      <c r="A7" s="323"/>
      <c r="B7" s="77" t="s">
        <v>2</v>
      </c>
      <c r="C7" s="78"/>
      <c r="D7" s="79">
        <f>19902+13768+4126+3238+2477+5211+1118+1251+1736+4867+1713</f>
        <v>59407</v>
      </c>
      <c r="E7" s="79">
        <f>4060+1704+483+257+226+951+170+239+266+633+252</f>
        <v>9241</v>
      </c>
      <c r="F7" s="91">
        <f aca="true" t="shared" si="9" ref="F7:F13">E7/D7*100</f>
        <v>15.555405928594274</v>
      </c>
      <c r="G7" s="80">
        <f>499+157+130+127+40+198+24+57+158+167+158</f>
        <v>1715</v>
      </c>
      <c r="H7" s="29">
        <f t="shared" si="1"/>
        <v>18.558597554377233</v>
      </c>
      <c r="I7" s="28">
        <f t="shared" si="2"/>
        <v>41</v>
      </c>
      <c r="J7" s="29">
        <f t="shared" si="3"/>
        <v>2.39067055393586</v>
      </c>
      <c r="K7" s="28">
        <f t="shared" si="4"/>
        <v>27</v>
      </c>
      <c r="L7" s="29">
        <f t="shared" si="5"/>
        <v>65.85365853658537</v>
      </c>
      <c r="M7" s="28">
        <f>2+1+1+2+1+1+2+3</f>
        <v>13</v>
      </c>
      <c r="N7" s="28">
        <v>0</v>
      </c>
      <c r="O7" s="28">
        <v>0</v>
      </c>
      <c r="P7" s="28">
        <f>5+1+2+4+2</f>
        <v>14</v>
      </c>
      <c r="Q7" s="28">
        <f>7+1</f>
        <v>8</v>
      </c>
      <c r="R7" s="142">
        <f>1+1+1+1+1+1</f>
        <v>6</v>
      </c>
      <c r="S7" s="148">
        <f t="shared" si="6"/>
        <v>0</v>
      </c>
      <c r="T7" s="275">
        <v>0</v>
      </c>
      <c r="U7" s="172">
        <f t="shared" si="7"/>
        <v>0</v>
      </c>
      <c r="V7" s="29">
        <f t="shared" si="8"/>
        <v>0</v>
      </c>
      <c r="W7" s="79">
        <f>233+50+24+22+6+51+6+8+25+45+45</f>
        <v>515</v>
      </c>
      <c r="X7" s="154">
        <f t="shared" si="0"/>
        <v>30.029154518950435</v>
      </c>
    </row>
    <row r="8" spans="1:24" ht="9.75" customHeight="1">
      <c r="A8" s="323"/>
      <c r="B8" s="77" t="s">
        <v>3</v>
      </c>
      <c r="C8" s="78"/>
      <c r="D8" s="79">
        <f>24689+18030+5248+4290+3186+6581+1468+1528+2231+5795+2142</f>
        <v>75188</v>
      </c>
      <c r="E8" s="79">
        <f>6078+2494+759+453+392+1497+311+354+424+1113+398</f>
        <v>14273</v>
      </c>
      <c r="F8" s="91">
        <f t="shared" si="9"/>
        <v>18.98308240676704</v>
      </c>
      <c r="G8" s="80">
        <f>826+215+226+190+64+334+75+103+253+319+255</f>
        <v>2860</v>
      </c>
      <c r="H8" s="29">
        <f t="shared" si="1"/>
        <v>20.037833671968052</v>
      </c>
      <c r="I8" s="28">
        <f t="shared" si="2"/>
        <v>66</v>
      </c>
      <c r="J8" s="29">
        <f t="shared" si="3"/>
        <v>2.307692307692308</v>
      </c>
      <c r="K8" s="28">
        <f t="shared" si="4"/>
        <v>44</v>
      </c>
      <c r="L8" s="29">
        <f t="shared" si="5"/>
        <v>66.66666666666666</v>
      </c>
      <c r="M8" s="28">
        <f>6+2+3+2+1+1</f>
        <v>15</v>
      </c>
      <c r="N8" s="28">
        <v>0</v>
      </c>
      <c r="O8" s="28">
        <v>2</v>
      </c>
      <c r="P8" s="28">
        <f>10+5+2+1+2+1+5+1</f>
        <v>27</v>
      </c>
      <c r="Q8" s="28">
        <f>4+1+3</f>
        <v>8</v>
      </c>
      <c r="R8" s="142">
        <f>3+3+3+2+2+1</f>
        <v>14</v>
      </c>
      <c r="S8" s="148">
        <f t="shared" si="6"/>
        <v>0</v>
      </c>
      <c r="T8" s="275">
        <v>0</v>
      </c>
      <c r="U8" s="172">
        <f t="shared" si="7"/>
        <v>0</v>
      </c>
      <c r="V8" s="29">
        <f t="shared" si="8"/>
        <v>0</v>
      </c>
      <c r="W8" s="79">
        <f>352+62+51+31+20+80+17+21+45+87+48</f>
        <v>814</v>
      </c>
      <c r="X8" s="154">
        <f t="shared" si="0"/>
        <v>28.46153846153846</v>
      </c>
    </row>
    <row r="9" spans="1:24" ht="9.75" customHeight="1">
      <c r="A9" s="323"/>
      <c r="B9" s="77" t="s">
        <v>4</v>
      </c>
      <c r="C9" s="78"/>
      <c r="D9" s="79">
        <f>22071+16952+4677+3959+2696+6242+1230+1119+1900+4645+1857</f>
        <v>67348</v>
      </c>
      <c r="E9" s="79">
        <f>9116+6730+2040+1310+1021+2503+351+428+671+1741+554</f>
        <v>26465</v>
      </c>
      <c r="F9" s="91">
        <f t="shared" si="9"/>
        <v>39.29589594345786</v>
      </c>
      <c r="G9" s="80">
        <f>1924+724+522+586+209+802+103+215+365+549+399</f>
        <v>6398</v>
      </c>
      <c r="H9" s="29">
        <f t="shared" si="1"/>
        <v>24.175325902134894</v>
      </c>
      <c r="I9" s="28">
        <f t="shared" si="2"/>
        <v>174</v>
      </c>
      <c r="J9" s="29">
        <f t="shared" si="3"/>
        <v>2.719599874960925</v>
      </c>
      <c r="K9" s="28">
        <f t="shared" si="4"/>
        <v>132</v>
      </c>
      <c r="L9" s="29">
        <f t="shared" si="5"/>
        <v>75.86206896551724</v>
      </c>
      <c r="M9" s="28">
        <f>18+5+7+7+2+4+1+6+5+1</f>
        <v>56</v>
      </c>
      <c r="N9" s="28">
        <f>1+1</f>
        <v>2</v>
      </c>
      <c r="O9" s="28">
        <f>1+2</f>
        <v>3</v>
      </c>
      <c r="P9" s="28">
        <f>18+10+10+8+4+6+2+2+6+5</f>
        <v>71</v>
      </c>
      <c r="Q9" s="28">
        <f>16+2+1+1+1</f>
        <v>21</v>
      </c>
      <c r="R9" s="142">
        <f>4+2+2+5+1+2+3+2</f>
        <v>21</v>
      </c>
      <c r="S9" s="148">
        <f t="shared" si="6"/>
        <v>0.03125976867771178</v>
      </c>
      <c r="T9" s="275">
        <v>0</v>
      </c>
      <c r="U9" s="172">
        <f t="shared" si="7"/>
        <v>0</v>
      </c>
      <c r="V9" s="29">
        <f t="shared" si="8"/>
        <v>1.5151515151515151</v>
      </c>
      <c r="W9" s="79">
        <f>889+254+141+155+64+231+27+41+100+160+94</f>
        <v>2156</v>
      </c>
      <c r="X9" s="154">
        <f t="shared" si="0"/>
        <v>33.69803063457331</v>
      </c>
    </row>
    <row r="10" spans="1:24" ht="9.75" customHeight="1">
      <c r="A10" s="323"/>
      <c r="B10" s="77" t="s">
        <v>5</v>
      </c>
      <c r="C10" s="78"/>
      <c r="D10" s="79">
        <f>18023+14117+3757+3365+2088+5352+1045+1021+1487+4078+1467</f>
        <v>55800</v>
      </c>
      <c r="E10" s="79">
        <f>10248+8427+2596+1895+1307+2943+541+548+1093+2469+643</f>
        <v>32710</v>
      </c>
      <c r="F10" s="91">
        <f t="shared" si="9"/>
        <v>58.62007168458781</v>
      </c>
      <c r="G10" s="80">
        <f>3467+1764+1056+1126+178+1664+223+320+450+868+544</f>
        <v>11660</v>
      </c>
      <c r="H10" s="29">
        <f t="shared" si="1"/>
        <v>35.646591256496485</v>
      </c>
      <c r="I10" s="28">
        <f t="shared" si="2"/>
        <v>356</v>
      </c>
      <c r="J10" s="29">
        <f t="shared" si="3"/>
        <v>3.053173241852487</v>
      </c>
      <c r="K10" s="28">
        <f t="shared" si="4"/>
        <v>281</v>
      </c>
      <c r="L10" s="29">
        <f t="shared" si="5"/>
        <v>78.93258426966293</v>
      </c>
      <c r="M10" s="28">
        <f>27+8+11+8+2+15+3+4+7+9+2</f>
        <v>96</v>
      </c>
      <c r="N10" s="28">
        <f>1+1+1</f>
        <v>3</v>
      </c>
      <c r="O10" s="28">
        <f>1+1+1+1</f>
        <v>4</v>
      </c>
      <c r="P10" s="28">
        <f>78+22+17+26+3+10+3+3+6+7+3</f>
        <v>178</v>
      </c>
      <c r="Q10" s="28">
        <f>18+5+1</f>
        <v>24</v>
      </c>
      <c r="R10" s="142">
        <f>13+1+6+3+17+1+4+3+2+1</f>
        <v>51</v>
      </c>
      <c r="S10" s="148">
        <f t="shared" si="6"/>
        <v>0.025728987993138937</v>
      </c>
      <c r="T10" s="275">
        <f>1+1</f>
        <v>2</v>
      </c>
      <c r="U10" s="172">
        <f t="shared" si="7"/>
        <v>0.00017152658662092623</v>
      </c>
      <c r="V10" s="29">
        <f t="shared" si="8"/>
        <v>1.0676156583629894</v>
      </c>
      <c r="W10" s="79">
        <f>1326+485+229+190+40+296+34+30+90+201+81</f>
        <v>3002</v>
      </c>
      <c r="X10" s="154">
        <f t="shared" si="0"/>
        <v>25.74614065180103</v>
      </c>
    </row>
    <row r="11" spans="1:24" ht="9.75" customHeight="1">
      <c r="A11" s="323"/>
      <c r="B11" s="77" t="s">
        <v>6</v>
      </c>
      <c r="C11" s="78"/>
      <c r="D11" s="79">
        <f>15055+11519+3585+3050+1941+4960+1155+1219+1642+4024+1537</f>
        <v>49687</v>
      </c>
      <c r="E11" s="79">
        <f>10277+8696+2974+2146+1496+3270+859+736+1519+3035+839</f>
        <v>35847</v>
      </c>
      <c r="F11" s="91">
        <f t="shared" si="9"/>
        <v>72.14563165415501</v>
      </c>
      <c r="G11" s="80">
        <f>4615+1731+1107+1204+203+1822+376+517+670+1013+722</f>
        <v>13980</v>
      </c>
      <c r="H11" s="29">
        <f t="shared" si="1"/>
        <v>38.99907942087204</v>
      </c>
      <c r="I11" s="28">
        <f t="shared" si="2"/>
        <v>564</v>
      </c>
      <c r="J11" s="29">
        <f t="shared" si="3"/>
        <v>4.034334763948498</v>
      </c>
      <c r="K11" s="28">
        <f t="shared" si="4"/>
        <v>442</v>
      </c>
      <c r="L11" s="29">
        <f t="shared" si="5"/>
        <v>78.36879432624113</v>
      </c>
      <c r="M11" s="28">
        <f>40+13+16+10+2+9+3+5+15+11+2</f>
        <v>126</v>
      </c>
      <c r="N11" s="28">
        <f>8+3+1+3+2</f>
        <v>17</v>
      </c>
      <c r="O11" s="28">
        <f>4+1+1+1+2</f>
        <v>9</v>
      </c>
      <c r="P11" s="28">
        <f>123+29+25+37+6+22+6+12+16+11+3</f>
        <v>290</v>
      </c>
      <c r="Q11" s="28">
        <f>39+3+3+4</f>
        <v>49</v>
      </c>
      <c r="R11" s="142">
        <f>16+5+2+2+29+4+7+1+6+1</f>
        <v>73</v>
      </c>
      <c r="S11" s="148">
        <f t="shared" si="6"/>
        <v>0.12160228898426323</v>
      </c>
      <c r="T11" s="275">
        <v>1</v>
      </c>
      <c r="U11" s="172">
        <f t="shared" si="7"/>
        <v>7.15307582260372E-05</v>
      </c>
      <c r="V11" s="29">
        <f t="shared" si="8"/>
        <v>3.8461538461538463</v>
      </c>
      <c r="W11" s="79">
        <f>1319+409+206+133+33+266+36+44+93+193+80</f>
        <v>2812</v>
      </c>
      <c r="X11" s="154">
        <f t="shared" si="0"/>
        <v>20.11444921316166</v>
      </c>
    </row>
    <row r="12" spans="1:24" ht="9.75" customHeight="1">
      <c r="A12" s="323"/>
      <c r="B12" s="77" t="s">
        <v>7</v>
      </c>
      <c r="C12" s="78"/>
      <c r="D12" s="79">
        <f>12485+8667+3088+2348+1482+4419+1193+1195+1672+3734+1576</f>
        <v>41859</v>
      </c>
      <c r="E12" s="79">
        <f>9259+6337+2751+1703+1219+2899+940+718+1457+2965+835</f>
        <v>31083</v>
      </c>
      <c r="F12" s="91">
        <f t="shared" si="9"/>
        <v>74.25643230846413</v>
      </c>
      <c r="G12" s="80">
        <f>4167+1286+924+1029+169+1600+406+463+671+1096+692</f>
        <v>12503</v>
      </c>
      <c r="H12" s="29">
        <f t="shared" si="1"/>
        <v>40.22456004890133</v>
      </c>
      <c r="I12" s="28">
        <f t="shared" si="2"/>
        <v>585</v>
      </c>
      <c r="J12" s="29">
        <f t="shared" si="3"/>
        <v>4.6788770695033195</v>
      </c>
      <c r="K12" s="28">
        <f t="shared" si="4"/>
        <v>448</v>
      </c>
      <c r="L12" s="29">
        <f t="shared" si="5"/>
        <v>76.5811965811966</v>
      </c>
      <c r="M12" s="28">
        <f>52+12+14+13+1+5+1+8+13+10+5</f>
        <v>134</v>
      </c>
      <c r="N12" s="28">
        <f>4+1+3+4+1+2+1</f>
        <v>16</v>
      </c>
      <c r="O12" s="28">
        <f>4+2+1+2+1+1+2</f>
        <v>13</v>
      </c>
      <c r="P12" s="28">
        <f>128+24+23+36+1+23+10+7+12+19+2</f>
        <v>285</v>
      </c>
      <c r="Q12" s="28">
        <f>36+6+1+1+4</f>
        <v>48</v>
      </c>
      <c r="R12" s="142">
        <f>25+1+3+5+1+29+3+5+8+9</f>
        <v>89</v>
      </c>
      <c r="S12" s="148">
        <f t="shared" si="6"/>
        <v>0.12796928737103094</v>
      </c>
      <c r="T12" s="275">
        <f>1+1</f>
        <v>2</v>
      </c>
      <c r="U12" s="172">
        <f t="shared" si="7"/>
        <v>0.00015996160921378868</v>
      </c>
      <c r="V12" s="29">
        <f t="shared" si="8"/>
        <v>3.571428571428571</v>
      </c>
      <c r="W12" s="79">
        <f>677+251+104+118+11+203+32+23+86+153+48</f>
        <v>1706</v>
      </c>
      <c r="X12" s="154">
        <f t="shared" si="0"/>
        <v>13.644725265936176</v>
      </c>
    </row>
    <row r="13" spans="1:24" ht="9.75" customHeight="1">
      <c r="A13" s="323"/>
      <c r="B13" s="81" t="s">
        <v>8</v>
      </c>
      <c r="C13" s="82"/>
      <c r="D13" s="83">
        <f>12463+7803+3209+2387+1451+4929+1611+1278+1999+3612+2448</f>
        <v>43190</v>
      </c>
      <c r="E13" s="83">
        <f>10220+5716+2851+1661+1209+3021+1220+626+1475+2838+776</f>
        <v>31613</v>
      </c>
      <c r="F13" s="91">
        <f t="shared" si="9"/>
        <v>73.19518407038666</v>
      </c>
      <c r="G13" s="48">
        <f>3818+789+816+816+119+1393+393+294+520+926+645</f>
        <v>10529</v>
      </c>
      <c r="H13" s="106">
        <f t="shared" si="1"/>
        <v>33.305918451270045</v>
      </c>
      <c r="I13" s="139">
        <f t="shared" si="2"/>
        <v>635</v>
      </c>
      <c r="J13" s="106">
        <f t="shared" si="3"/>
        <v>6.030962104663311</v>
      </c>
      <c r="K13" s="139">
        <f t="shared" si="4"/>
        <v>493</v>
      </c>
      <c r="L13" s="106">
        <f t="shared" si="5"/>
        <v>77.63779527559055</v>
      </c>
      <c r="M13" s="52">
        <f>44+9+12+7+1+6+1+3+18+15+2</f>
        <v>118</v>
      </c>
      <c r="N13" s="52">
        <f>6+4+2+1+1+1+1+4</f>
        <v>20</v>
      </c>
      <c r="O13" s="52">
        <f>16+2+1+1+1+1</f>
        <v>22</v>
      </c>
      <c r="P13" s="52">
        <f>144+20+28+35+3+41+13+8+17+19+5</f>
        <v>333</v>
      </c>
      <c r="Q13" s="52">
        <f>45+5+7+3+2+1</f>
        <v>63</v>
      </c>
      <c r="R13" s="143">
        <f>27+4+23+1+5+6+12+1</f>
        <v>79</v>
      </c>
      <c r="S13" s="150">
        <f t="shared" si="6"/>
        <v>0.18995156235160035</v>
      </c>
      <c r="T13" s="276">
        <f>1+1+1+1+1</f>
        <v>5</v>
      </c>
      <c r="U13" s="175">
        <f t="shared" si="7"/>
        <v>0.00047487890587900086</v>
      </c>
      <c r="V13" s="106">
        <f t="shared" si="8"/>
        <v>4.056795131845842</v>
      </c>
      <c r="W13" s="83">
        <f>641+172+106+111+11+168+36+13+81+162+56</f>
        <v>1557</v>
      </c>
      <c r="X13" s="155">
        <f t="shared" si="0"/>
        <v>14.787729129072085</v>
      </c>
    </row>
    <row r="14" spans="1:24" ht="9.75" customHeight="1">
      <c r="A14" s="323"/>
      <c r="B14" s="60" t="s">
        <v>9</v>
      </c>
      <c r="C14" s="59"/>
      <c r="D14" s="33">
        <f>SUM(D5:D13)</f>
        <v>502626</v>
      </c>
      <c r="E14" s="33">
        <f>SUM(E5:E13)</f>
        <v>197128</v>
      </c>
      <c r="F14" s="34">
        <f>E14/D14*100</f>
        <v>39.21961856330552</v>
      </c>
      <c r="G14" s="35">
        <f>SUM(G5:G13)</f>
        <v>61812</v>
      </c>
      <c r="H14" s="36">
        <f t="shared" si="1"/>
        <v>31.356276125157258</v>
      </c>
      <c r="I14" s="39">
        <f t="shared" si="2"/>
        <v>2457</v>
      </c>
      <c r="J14" s="36">
        <f t="shared" si="3"/>
        <v>3.974956319161328</v>
      </c>
      <c r="K14" s="39">
        <f t="shared" si="4"/>
        <v>1891</v>
      </c>
      <c r="L14" s="36">
        <f t="shared" si="5"/>
        <v>76.96377696377697</v>
      </c>
      <c r="M14" s="33">
        <f aca="true" t="shared" si="10" ref="M14:R14">SUM(M5:M13)</f>
        <v>573</v>
      </c>
      <c r="N14" s="33">
        <f t="shared" si="10"/>
        <v>58</v>
      </c>
      <c r="O14" s="33">
        <f t="shared" si="10"/>
        <v>53</v>
      </c>
      <c r="P14" s="33">
        <f t="shared" si="10"/>
        <v>1207</v>
      </c>
      <c r="Q14" s="33">
        <f t="shared" si="10"/>
        <v>224</v>
      </c>
      <c r="R14" s="144">
        <f t="shared" si="10"/>
        <v>342</v>
      </c>
      <c r="S14" s="152">
        <f t="shared" si="6"/>
        <v>0.09383291270303501</v>
      </c>
      <c r="T14" s="277">
        <f>SUM(T5:T13)</f>
        <v>10</v>
      </c>
      <c r="U14" s="176">
        <f t="shared" si="7"/>
        <v>0.00016178088397075002</v>
      </c>
      <c r="V14" s="36">
        <f t="shared" si="8"/>
        <v>3.0671602326811214</v>
      </c>
      <c r="W14" s="33">
        <f>SUM(W5:W13)</f>
        <v>13420</v>
      </c>
      <c r="X14" s="156">
        <f t="shared" si="0"/>
        <v>21.71099462887465</v>
      </c>
    </row>
    <row r="15" spans="1:24" ht="9.75" customHeight="1">
      <c r="A15" s="323"/>
      <c r="B15" s="13" t="s">
        <v>10</v>
      </c>
      <c r="C15" s="61" t="s">
        <v>11</v>
      </c>
      <c r="D15" s="94" t="s">
        <v>80</v>
      </c>
      <c r="E15" s="94" t="s">
        <v>79</v>
      </c>
      <c r="F15" s="94" t="s">
        <v>79</v>
      </c>
      <c r="G15" s="47">
        <f>15631+272+2321</f>
        <v>18224</v>
      </c>
      <c r="H15" s="140" t="s">
        <v>79</v>
      </c>
      <c r="I15" s="53">
        <f>SUM(M15:R15)</f>
        <v>977</v>
      </c>
      <c r="J15" s="56">
        <f>I15/G15*100</f>
        <v>5.361062335381914</v>
      </c>
      <c r="K15" s="53">
        <f>SUM(M15:P15)</f>
        <v>716</v>
      </c>
      <c r="L15" s="56">
        <f>K15/I15*100</f>
        <v>73.28556806550665</v>
      </c>
      <c r="M15" s="38">
        <f>161+6+24</f>
        <v>191</v>
      </c>
      <c r="N15" s="38">
        <f>17+1</f>
        <v>18</v>
      </c>
      <c r="O15" s="38">
        <f>27+1+2</f>
        <v>30</v>
      </c>
      <c r="P15" s="38">
        <f>448+9+20</f>
        <v>477</v>
      </c>
      <c r="Q15" s="38">
        <v>157</v>
      </c>
      <c r="R15" s="145">
        <f>80+7+17</f>
        <v>104</v>
      </c>
      <c r="S15" s="151">
        <f t="shared" si="6"/>
        <v>0.09877085162423178</v>
      </c>
      <c r="T15" s="278">
        <v>2</v>
      </c>
      <c r="U15" s="177">
        <f t="shared" si="7"/>
        <v>0.00010974539069359087</v>
      </c>
      <c r="V15" s="123">
        <f t="shared" si="8"/>
        <v>2.5139664804469275</v>
      </c>
      <c r="W15" s="278">
        <f>4297+97+718</f>
        <v>5112</v>
      </c>
      <c r="X15" s="160">
        <f t="shared" si="0"/>
        <v>28.050921861281825</v>
      </c>
    </row>
    <row r="16" spans="1:24" ht="9.75" customHeight="1" thickBot="1">
      <c r="A16" s="324"/>
      <c r="B16" s="45" t="s">
        <v>12</v>
      </c>
      <c r="C16" s="84" t="s">
        <v>13</v>
      </c>
      <c r="D16" s="95" t="s">
        <v>80</v>
      </c>
      <c r="E16" s="95" t="s">
        <v>79</v>
      </c>
      <c r="F16" s="96" t="s">
        <v>79</v>
      </c>
      <c r="G16" s="85">
        <f>4364+6873+4970+5235+1039+8095+1640+1748+3249+2824+3551</f>
        <v>43588</v>
      </c>
      <c r="H16" s="95" t="s">
        <v>79</v>
      </c>
      <c r="I16" s="86">
        <f>SUM(M16:R16)</f>
        <v>1480</v>
      </c>
      <c r="J16" s="93">
        <f>I16/G16*100</f>
        <v>3.3954299348444525</v>
      </c>
      <c r="K16" s="86">
        <f>SUM(M16:P16)</f>
        <v>1175</v>
      </c>
      <c r="L16" s="93">
        <f>K16/I16*100</f>
        <v>79.3918918918919</v>
      </c>
      <c r="M16" s="86">
        <f>33+49+66+50+9+40+9+19+65+30+12</f>
        <v>382</v>
      </c>
      <c r="N16" s="86">
        <f>2+10+4+9+2+1+1+1+5+5</f>
        <v>40</v>
      </c>
      <c r="O16" s="86">
        <f>1+6+4+3+2+2+1+2+2</f>
        <v>23</v>
      </c>
      <c r="P16" s="86">
        <f>61+111+105+144+19+105+34+24+62+50+15</f>
        <v>730</v>
      </c>
      <c r="Q16" s="86">
        <f>11+23+15+4+11+1+1+1</f>
        <v>67</v>
      </c>
      <c r="R16" s="146">
        <f>13+2+20+12+4+107+14+16+24+21+5</f>
        <v>238</v>
      </c>
      <c r="S16" s="149">
        <f t="shared" si="6"/>
        <v>0.09176837661741764</v>
      </c>
      <c r="T16" s="279">
        <f>1+2+1+1+1+2</f>
        <v>8</v>
      </c>
      <c r="U16" s="173">
        <f t="shared" si="7"/>
        <v>0.00018353675323483528</v>
      </c>
      <c r="V16" s="93">
        <f t="shared" si="8"/>
        <v>3.404255319148936</v>
      </c>
      <c r="W16" s="279">
        <f>1537+1756+917+801+206+1375+201+99+566+360+490</f>
        <v>8308</v>
      </c>
      <c r="X16" s="159">
        <f t="shared" si="0"/>
        <v>19.060291823437645</v>
      </c>
    </row>
    <row r="17" spans="1:24" ht="9.75" customHeight="1">
      <c r="A17" s="322" t="s">
        <v>99</v>
      </c>
      <c r="B17" s="74" t="s">
        <v>76</v>
      </c>
      <c r="C17" s="75"/>
      <c r="D17" s="181"/>
      <c r="E17" s="181"/>
      <c r="F17" s="187"/>
      <c r="G17" s="50">
        <f>1+6+3+7+2+5+4+1</f>
        <v>29</v>
      </c>
      <c r="H17" s="191"/>
      <c r="I17" s="54">
        <f>SUM(M17:R17)</f>
        <v>0</v>
      </c>
      <c r="J17" s="92">
        <f>I17/G17*100</f>
        <v>0</v>
      </c>
      <c r="K17" s="54">
        <f>SUM(M17:P17)</f>
        <v>0</v>
      </c>
      <c r="L17" s="92" t="e">
        <f>K17/I17*100</f>
        <v>#DIV/0!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141">
        <v>0</v>
      </c>
      <c r="S17" s="147">
        <f>N17/G17*100</f>
        <v>0</v>
      </c>
      <c r="T17" s="274">
        <v>0</v>
      </c>
      <c r="U17" s="171">
        <f>T17/G17</f>
        <v>0</v>
      </c>
      <c r="V17" s="92" t="e">
        <f>N17/K17*100</f>
        <v>#DIV/0!</v>
      </c>
      <c r="W17" s="76">
        <f>1+6+1+4+2+1+2</f>
        <v>17</v>
      </c>
      <c r="X17" s="153">
        <f t="shared" si="0"/>
        <v>58.620689655172406</v>
      </c>
    </row>
    <row r="18" spans="1:24" ht="9.75" customHeight="1">
      <c r="A18" s="323"/>
      <c r="B18" s="77" t="s">
        <v>1</v>
      </c>
      <c r="C18" s="78"/>
      <c r="D18" s="182"/>
      <c r="E18" s="182"/>
      <c r="F18" s="188"/>
      <c r="G18" s="80">
        <f>7+5+2+4+1+8+2+2+5+4</f>
        <v>40</v>
      </c>
      <c r="H18" s="192"/>
      <c r="I18" s="28">
        <f aca="true" t="shared" si="11" ref="I18:I26">SUM(M18:R18)</f>
        <v>0</v>
      </c>
      <c r="J18" s="29">
        <f aca="true" t="shared" si="12" ref="J18:J26">I18/G18*100</f>
        <v>0</v>
      </c>
      <c r="K18" s="28">
        <f aca="true" t="shared" si="13" ref="K18:K26">SUM(M18:P18)</f>
        <v>0</v>
      </c>
      <c r="L18" s="29" t="e">
        <f aca="true" t="shared" si="14" ref="L18:L26">K18/I18*100</f>
        <v>#DIV/0!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142">
        <v>0</v>
      </c>
      <c r="S18" s="148">
        <f aca="true" t="shared" si="15" ref="S18:S28">N18/G18*100</f>
        <v>0</v>
      </c>
      <c r="T18" s="275">
        <v>0</v>
      </c>
      <c r="U18" s="172">
        <f aca="true" t="shared" si="16" ref="U18:U28">T18/G18</f>
        <v>0</v>
      </c>
      <c r="V18" s="29" t="e">
        <f aca="true" t="shared" si="17" ref="V18:V28">N18/K18*100</f>
        <v>#DIV/0!</v>
      </c>
      <c r="W18" s="79">
        <f>3+5+2+1+1+1+2+2</f>
        <v>17</v>
      </c>
      <c r="X18" s="154">
        <f t="shared" si="0"/>
        <v>42.5</v>
      </c>
    </row>
    <row r="19" spans="1:24" ht="9.75" customHeight="1">
      <c r="A19" s="323"/>
      <c r="B19" s="77" t="s">
        <v>2</v>
      </c>
      <c r="C19" s="78"/>
      <c r="D19" s="182"/>
      <c r="E19" s="182"/>
      <c r="F19" s="188"/>
      <c r="G19" s="80">
        <f>33+10+11+11+4+10+5+3+14+8+20</f>
        <v>129</v>
      </c>
      <c r="H19" s="192"/>
      <c r="I19" s="28">
        <f t="shared" si="11"/>
        <v>3</v>
      </c>
      <c r="J19" s="29">
        <f t="shared" si="12"/>
        <v>2.3255813953488373</v>
      </c>
      <c r="K19" s="28">
        <f t="shared" si="13"/>
        <v>2</v>
      </c>
      <c r="L19" s="29">
        <f t="shared" si="14"/>
        <v>66.66666666666666</v>
      </c>
      <c r="M19" s="28">
        <f>1+1</f>
        <v>2</v>
      </c>
      <c r="N19" s="28">
        <v>0</v>
      </c>
      <c r="O19" s="28">
        <v>0</v>
      </c>
      <c r="P19" s="28">
        <v>0</v>
      </c>
      <c r="Q19" s="28">
        <v>1</v>
      </c>
      <c r="R19" s="142">
        <v>0</v>
      </c>
      <c r="S19" s="148">
        <f t="shared" si="15"/>
        <v>0</v>
      </c>
      <c r="T19" s="275">
        <v>0</v>
      </c>
      <c r="U19" s="172">
        <f t="shared" si="16"/>
        <v>0</v>
      </c>
      <c r="V19" s="29">
        <f t="shared" si="17"/>
        <v>0</v>
      </c>
      <c r="W19" s="79">
        <f>15+10+1+2+2+4+2+1+2+4+3</f>
        <v>46</v>
      </c>
      <c r="X19" s="154">
        <f t="shared" si="0"/>
        <v>35.65891472868217</v>
      </c>
    </row>
    <row r="20" spans="1:24" ht="9.75" customHeight="1">
      <c r="A20" s="323"/>
      <c r="B20" s="77" t="s">
        <v>3</v>
      </c>
      <c r="C20" s="78"/>
      <c r="D20" s="182"/>
      <c r="E20" s="182"/>
      <c r="F20" s="188"/>
      <c r="G20" s="80">
        <f>55+19+13+24+7+21+10+6+32+18+25</f>
        <v>230</v>
      </c>
      <c r="H20" s="192"/>
      <c r="I20" s="28">
        <f t="shared" si="11"/>
        <v>5</v>
      </c>
      <c r="J20" s="29">
        <f t="shared" si="12"/>
        <v>2.1739130434782608</v>
      </c>
      <c r="K20" s="28">
        <f t="shared" si="13"/>
        <v>5</v>
      </c>
      <c r="L20" s="29">
        <f t="shared" si="14"/>
        <v>100</v>
      </c>
      <c r="M20" s="28">
        <f>1+2</f>
        <v>3</v>
      </c>
      <c r="N20" s="28">
        <v>0</v>
      </c>
      <c r="O20" s="28">
        <v>0</v>
      </c>
      <c r="P20" s="28">
        <v>2</v>
      </c>
      <c r="Q20" s="28">
        <v>0</v>
      </c>
      <c r="R20" s="142">
        <v>0</v>
      </c>
      <c r="S20" s="148">
        <f t="shared" si="15"/>
        <v>0</v>
      </c>
      <c r="T20" s="275">
        <v>0</v>
      </c>
      <c r="U20" s="172">
        <f t="shared" si="16"/>
        <v>0</v>
      </c>
      <c r="V20" s="29">
        <f t="shared" si="17"/>
        <v>0</v>
      </c>
      <c r="W20" s="79">
        <f>28+14+5+3+4+5+5+5+3+10+10</f>
        <v>92</v>
      </c>
      <c r="X20" s="154">
        <f t="shared" si="0"/>
        <v>40</v>
      </c>
    </row>
    <row r="21" spans="1:24" ht="9.75" customHeight="1">
      <c r="A21" s="323"/>
      <c r="B21" s="77" t="s">
        <v>4</v>
      </c>
      <c r="C21" s="78"/>
      <c r="D21" s="182"/>
      <c r="E21" s="182"/>
      <c r="F21" s="188"/>
      <c r="G21" s="80">
        <f>120+69+48+82+20+83+21+8+46+44+53</f>
        <v>594</v>
      </c>
      <c r="H21" s="192"/>
      <c r="I21" s="28">
        <f t="shared" si="11"/>
        <v>8</v>
      </c>
      <c r="J21" s="29">
        <f t="shared" si="12"/>
        <v>1.3468013468013467</v>
      </c>
      <c r="K21" s="28">
        <f t="shared" si="13"/>
        <v>7</v>
      </c>
      <c r="L21" s="29">
        <f t="shared" si="14"/>
        <v>87.5</v>
      </c>
      <c r="M21" s="28">
        <f>1+3+1</f>
        <v>5</v>
      </c>
      <c r="N21" s="28">
        <v>0</v>
      </c>
      <c r="O21" s="28">
        <v>0</v>
      </c>
      <c r="P21" s="28">
        <f>1+1</f>
        <v>2</v>
      </c>
      <c r="Q21" s="28">
        <v>0</v>
      </c>
      <c r="R21" s="142">
        <v>1</v>
      </c>
      <c r="S21" s="148">
        <f t="shared" si="15"/>
        <v>0</v>
      </c>
      <c r="T21" s="275">
        <v>0</v>
      </c>
      <c r="U21" s="172">
        <f t="shared" si="16"/>
        <v>0</v>
      </c>
      <c r="V21" s="29">
        <f t="shared" si="17"/>
        <v>0</v>
      </c>
      <c r="W21" s="79">
        <f>59+59+18+8+7+21+14+2+17+21+25</f>
        <v>251</v>
      </c>
      <c r="X21" s="154">
        <f t="shared" si="0"/>
        <v>42.255892255892256</v>
      </c>
    </row>
    <row r="22" spans="1:24" ht="9.75" customHeight="1">
      <c r="A22" s="323"/>
      <c r="B22" s="77" t="s">
        <v>5</v>
      </c>
      <c r="C22" s="78"/>
      <c r="D22" s="182"/>
      <c r="E22" s="182"/>
      <c r="F22" s="188"/>
      <c r="G22" s="80">
        <f>190+121+98+122+23+134+33+17+61+46+51</f>
        <v>896</v>
      </c>
      <c r="H22" s="192"/>
      <c r="I22" s="28">
        <f t="shared" si="11"/>
        <v>13</v>
      </c>
      <c r="J22" s="29">
        <f t="shared" si="12"/>
        <v>1.4508928571428572</v>
      </c>
      <c r="K22" s="28">
        <f t="shared" si="13"/>
        <v>10</v>
      </c>
      <c r="L22" s="29">
        <f t="shared" si="14"/>
        <v>76.92307692307693</v>
      </c>
      <c r="M22" s="28">
        <f>1+1+2</f>
        <v>4</v>
      </c>
      <c r="N22" s="28">
        <v>1</v>
      </c>
      <c r="O22" s="28">
        <v>0</v>
      </c>
      <c r="P22" s="28">
        <f>2+2+1</f>
        <v>5</v>
      </c>
      <c r="Q22" s="28">
        <v>1</v>
      </c>
      <c r="R22" s="142">
        <f>1+1</f>
        <v>2</v>
      </c>
      <c r="S22" s="148">
        <f t="shared" si="15"/>
        <v>0.11160714285714285</v>
      </c>
      <c r="T22" s="275">
        <v>0</v>
      </c>
      <c r="U22" s="172">
        <f t="shared" si="16"/>
        <v>0</v>
      </c>
      <c r="V22" s="29">
        <f t="shared" si="17"/>
        <v>10</v>
      </c>
      <c r="W22" s="79">
        <f>61+83+24+10+5+24+18+3+12+18+12</f>
        <v>270</v>
      </c>
      <c r="X22" s="154">
        <f t="shared" si="0"/>
        <v>30.13392857142857</v>
      </c>
    </row>
    <row r="23" spans="1:24" ht="9.75" customHeight="1">
      <c r="A23" s="323"/>
      <c r="B23" s="77" t="s">
        <v>6</v>
      </c>
      <c r="C23" s="78"/>
      <c r="D23" s="182"/>
      <c r="E23" s="182"/>
      <c r="F23" s="188"/>
      <c r="G23" s="80">
        <f>240+115+94+194+28+130+69+13+89+48+75</f>
        <v>1095</v>
      </c>
      <c r="H23" s="192"/>
      <c r="I23" s="28">
        <f t="shared" si="11"/>
        <v>11</v>
      </c>
      <c r="J23" s="29">
        <f t="shared" si="12"/>
        <v>1.004566210045662</v>
      </c>
      <c r="K23" s="28">
        <f t="shared" si="13"/>
        <v>10</v>
      </c>
      <c r="L23" s="29">
        <f t="shared" si="14"/>
        <v>90.9090909090909</v>
      </c>
      <c r="M23" s="28">
        <f>2+1+4</f>
        <v>7</v>
      </c>
      <c r="N23" s="28">
        <v>0</v>
      </c>
      <c r="O23" s="28">
        <v>0</v>
      </c>
      <c r="P23" s="28">
        <f>1+2</f>
        <v>3</v>
      </c>
      <c r="Q23" s="28">
        <v>1</v>
      </c>
      <c r="R23" s="142">
        <v>0</v>
      </c>
      <c r="S23" s="148">
        <f t="shared" si="15"/>
        <v>0</v>
      </c>
      <c r="T23" s="275">
        <v>0</v>
      </c>
      <c r="U23" s="172">
        <f t="shared" si="16"/>
        <v>0</v>
      </c>
      <c r="V23" s="29">
        <f t="shared" si="17"/>
        <v>0</v>
      </c>
      <c r="W23" s="79">
        <f>74+71+17+7+4+13+32+1+17+15+20</f>
        <v>271</v>
      </c>
      <c r="X23" s="154">
        <f t="shared" si="0"/>
        <v>24.748858447488583</v>
      </c>
    </row>
    <row r="24" spans="1:24" ht="9.75" customHeight="1">
      <c r="A24" s="323"/>
      <c r="B24" s="77" t="s">
        <v>7</v>
      </c>
      <c r="C24" s="78"/>
      <c r="D24" s="182"/>
      <c r="E24" s="182"/>
      <c r="F24" s="188"/>
      <c r="G24" s="80">
        <f>200+66+66+126+28+114+60+13+54+49+52</f>
        <v>828</v>
      </c>
      <c r="H24" s="192"/>
      <c r="I24" s="28">
        <f t="shared" si="11"/>
        <v>17</v>
      </c>
      <c r="J24" s="29">
        <f t="shared" si="12"/>
        <v>2.0531400966183577</v>
      </c>
      <c r="K24" s="28">
        <f t="shared" si="13"/>
        <v>16</v>
      </c>
      <c r="L24" s="29">
        <f t="shared" si="14"/>
        <v>94.11764705882352</v>
      </c>
      <c r="M24" s="28">
        <f>1+2</f>
        <v>3</v>
      </c>
      <c r="N24" s="28">
        <v>0</v>
      </c>
      <c r="O24" s="28">
        <v>1</v>
      </c>
      <c r="P24" s="28">
        <f>6+3+1+1+1</f>
        <v>12</v>
      </c>
      <c r="Q24" s="28">
        <v>0</v>
      </c>
      <c r="R24" s="142">
        <v>1</v>
      </c>
      <c r="S24" s="148">
        <f t="shared" si="15"/>
        <v>0</v>
      </c>
      <c r="T24" s="275">
        <v>0</v>
      </c>
      <c r="U24" s="172">
        <f t="shared" si="16"/>
        <v>0</v>
      </c>
      <c r="V24" s="29">
        <f t="shared" si="17"/>
        <v>0</v>
      </c>
      <c r="W24" s="79">
        <f>35+46+13+1+4+14+25+2+9+10+15</f>
        <v>174</v>
      </c>
      <c r="X24" s="154">
        <f t="shared" si="0"/>
        <v>21.014492753623188</v>
      </c>
    </row>
    <row r="25" spans="1:24" ht="9.75" customHeight="1">
      <c r="A25" s="323"/>
      <c r="B25" s="81" t="s">
        <v>8</v>
      </c>
      <c r="C25" s="82"/>
      <c r="D25" s="183"/>
      <c r="E25" s="183"/>
      <c r="F25" s="188"/>
      <c r="G25" s="48">
        <f>128+32+35+69+8+82+48+6+24+27+29</f>
        <v>488</v>
      </c>
      <c r="H25" s="193"/>
      <c r="I25" s="139">
        <f t="shared" si="11"/>
        <v>7</v>
      </c>
      <c r="J25" s="106">
        <f t="shared" si="12"/>
        <v>1.4344262295081966</v>
      </c>
      <c r="K25" s="139">
        <f t="shared" si="13"/>
        <v>7</v>
      </c>
      <c r="L25" s="106">
        <f t="shared" si="14"/>
        <v>100</v>
      </c>
      <c r="M25" s="52">
        <f>1+2</f>
        <v>3</v>
      </c>
      <c r="N25" s="52">
        <v>0</v>
      </c>
      <c r="O25" s="52">
        <v>0</v>
      </c>
      <c r="P25" s="52">
        <f>1+2+1</f>
        <v>4</v>
      </c>
      <c r="Q25" s="52">
        <v>0</v>
      </c>
      <c r="R25" s="143">
        <v>0</v>
      </c>
      <c r="S25" s="150">
        <f t="shared" si="15"/>
        <v>0</v>
      </c>
      <c r="T25" s="276">
        <v>0</v>
      </c>
      <c r="U25" s="175">
        <f t="shared" si="16"/>
        <v>0</v>
      </c>
      <c r="V25" s="106">
        <f t="shared" si="17"/>
        <v>0</v>
      </c>
      <c r="W25" s="83">
        <f>17+20+4+1+1+8+20+3+5+7</f>
        <v>86</v>
      </c>
      <c r="X25" s="155">
        <f t="shared" si="0"/>
        <v>17.62295081967213</v>
      </c>
    </row>
    <row r="26" spans="1:24" ht="9.75" customHeight="1">
      <c r="A26" s="323"/>
      <c r="B26" s="60" t="s">
        <v>9</v>
      </c>
      <c r="C26" s="59"/>
      <c r="D26" s="184"/>
      <c r="E26" s="184"/>
      <c r="F26" s="189"/>
      <c r="G26" s="35">
        <f>SUM(G17:G25)</f>
        <v>4329</v>
      </c>
      <c r="H26" s="194"/>
      <c r="I26" s="39">
        <f t="shared" si="11"/>
        <v>64</v>
      </c>
      <c r="J26" s="36">
        <f t="shared" si="12"/>
        <v>1.4784014784014783</v>
      </c>
      <c r="K26" s="39">
        <f t="shared" si="13"/>
        <v>57</v>
      </c>
      <c r="L26" s="36">
        <f t="shared" si="14"/>
        <v>89.0625</v>
      </c>
      <c r="M26" s="33">
        <f aca="true" t="shared" si="18" ref="M26:R26">SUM(M17:M25)</f>
        <v>27</v>
      </c>
      <c r="N26" s="33">
        <f t="shared" si="18"/>
        <v>1</v>
      </c>
      <c r="O26" s="33">
        <f t="shared" si="18"/>
        <v>1</v>
      </c>
      <c r="P26" s="33">
        <f t="shared" si="18"/>
        <v>28</v>
      </c>
      <c r="Q26" s="33">
        <f t="shared" si="18"/>
        <v>3</v>
      </c>
      <c r="R26" s="144">
        <f t="shared" si="18"/>
        <v>4</v>
      </c>
      <c r="S26" s="152">
        <f t="shared" si="15"/>
        <v>0.023100023100023098</v>
      </c>
      <c r="T26" s="277">
        <f>SUM(T17:T25)</f>
        <v>0</v>
      </c>
      <c r="U26" s="176">
        <f t="shared" si="16"/>
        <v>0</v>
      </c>
      <c r="V26" s="36">
        <f t="shared" si="17"/>
        <v>1.7543859649122806</v>
      </c>
      <c r="W26" s="33">
        <f>SUM(W17:W25)</f>
        <v>1224</v>
      </c>
      <c r="X26" s="156">
        <f t="shared" si="0"/>
        <v>28.274428274428274</v>
      </c>
    </row>
    <row r="27" spans="1:24" ht="9.75" customHeight="1">
      <c r="A27" s="323"/>
      <c r="B27" s="13" t="s">
        <v>10</v>
      </c>
      <c r="C27" s="88" t="s">
        <v>11</v>
      </c>
      <c r="D27" s="185"/>
      <c r="E27" s="185"/>
      <c r="F27" s="185"/>
      <c r="G27" s="47">
        <f>671+3</f>
        <v>674</v>
      </c>
      <c r="H27" s="195"/>
      <c r="I27" s="53">
        <f>SUM(M27:R27)</f>
        <v>0</v>
      </c>
      <c r="J27" s="56">
        <f>I27/G27*100</f>
        <v>0</v>
      </c>
      <c r="K27" s="53">
        <f>SUM(M27:P27)</f>
        <v>0</v>
      </c>
      <c r="L27" s="56" t="e">
        <f>K27/I27*100</f>
        <v>#DIV/0!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145">
        <v>0</v>
      </c>
      <c r="S27" s="151">
        <f t="shared" si="15"/>
        <v>0</v>
      </c>
      <c r="T27" s="278">
        <v>0</v>
      </c>
      <c r="U27" s="177">
        <f t="shared" si="16"/>
        <v>0</v>
      </c>
      <c r="V27" s="123" t="e">
        <f t="shared" si="17"/>
        <v>#DIV/0!</v>
      </c>
      <c r="W27" s="284">
        <f>183+5</f>
        <v>188</v>
      </c>
      <c r="X27" s="160">
        <f t="shared" si="0"/>
        <v>27.89317507418398</v>
      </c>
    </row>
    <row r="28" spans="1:24" ht="9.75" customHeight="1" thickBot="1">
      <c r="A28" s="324"/>
      <c r="B28" s="13" t="s">
        <v>12</v>
      </c>
      <c r="C28" s="13" t="s">
        <v>13</v>
      </c>
      <c r="D28" s="186"/>
      <c r="E28" s="186"/>
      <c r="F28" s="190"/>
      <c r="G28" s="85">
        <f>303+443+370+639+121+587+248+63+322+249+310</f>
        <v>3655</v>
      </c>
      <c r="H28" s="186"/>
      <c r="I28" s="86">
        <f>SUM(M28:R28)</f>
        <v>64</v>
      </c>
      <c r="J28" s="93">
        <f>I28/G28*100</f>
        <v>1.7510259917920656</v>
      </c>
      <c r="K28" s="86">
        <f>SUM(M28:P28)</f>
        <v>57</v>
      </c>
      <c r="L28" s="93">
        <f>K28/I28*100</f>
        <v>89.0625</v>
      </c>
      <c r="M28" s="86">
        <f>3+5+2+16+1</f>
        <v>27</v>
      </c>
      <c r="N28" s="86">
        <v>1</v>
      </c>
      <c r="O28" s="86">
        <v>1</v>
      </c>
      <c r="P28" s="86">
        <f>9+11+1+3+1+2+1</f>
        <v>28</v>
      </c>
      <c r="Q28" s="86">
        <f>1+1+1</f>
        <v>3</v>
      </c>
      <c r="R28" s="146">
        <f>1+2+1</f>
        <v>4</v>
      </c>
      <c r="S28" s="149">
        <f t="shared" si="15"/>
        <v>0.027359781121751026</v>
      </c>
      <c r="T28" s="279">
        <v>0</v>
      </c>
      <c r="U28" s="173">
        <f t="shared" si="16"/>
        <v>0</v>
      </c>
      <c r="V28" s="93">
        <f t="shared" si="17"/>
        <v>1.7543859649122806</v>
      </c>
      <c r="W28" s="285">
        <f>110+314+83+38+30+91+117+9+63+87+94</f>
        <v>1036</v>
      </c>
      <c r="X28" s="159">
        <f t="shared" si="0"/>
        <v>28.344733242134062</v>
      </c>
    </row>
    <row r="29" spans="1:24" ht="9.75" customHeight="1">
      <c r="A29" s="322" t="s">
        <v>78</v>
      </c>
      <c r="B29" s="74" t="s">
        <v>76</v>
      </c>
      <c r="C29" s="75"/>
      <c r="D29" s="76">
        <f>21785+13956+3229+2755+2257+4446+740+751+1201+3911+1234</f>
        <v>56265</v>
      </c>
      <c r="E29" s="76">
        <f>8097+4096+850+900+657+1340+228+238+240+1003+225</f>
        <v>17874</v>
      </c>
      <c r="F29" s="90">
        <f>E29/D29*100</f>
        <v>31.767528659024258</v>
      </c>
      <c r="G29" s="50">
        <f>1110+437+325+320+77+488+48+70+142+178+132</f>
        <v>3327</v>
      </c>
      <c r="H29" s="92">
        <f>G29/E29*100</f>
        <v>18.613628734474656</v>
      </c>
      <c r="I29" s="54">
        <f>SUM(M29:R29)</f>
        <v>26</v>
      </c>
      <c r="J29" s="92">
        <f>I29/G29*100</f>
        <v>0.7814848211602045</v>
      </c>
      <c r="K29" s="54">
        <f>SUM(M29:P29)</f>
        <v>20</v>
      </c>
      <c r="L29" s="92">
        <f>K29/I29*100</f>
        <v>76.92307692307693</v>
      </c>
      <c r="M29" s="54">
        <f>3+2+1+6+2</f>
        <v>14</v>
      </c>
      <c r="N29" s="54">
        <v>0</v>
      </c>
      <c r="O29" s="54">
        <v>0</v>
      </c>
      <c r="P29" s="54">
        <f>2+1+1+1+1</f>
        <v>6</v>
      </c>
      <c r="Q29" s="54">
        <v>1</v>
      </c>
      <c r="R29" s="141">
        <f>2+1+2</f>
        <v>5</v>
      </c>
      <c r="S29" s="147">
        <f>N29/G29*100</f>
        <v>0</v>
      </c>
      <c r="T29" s="274">
        <v>0</v>
      </c>
      <c r="U29" s="171">
        <f>T29/G29</f>
        <v>0</v>
      </c>
      <c r="V29" s="92">
        <f>N29/K29*100</f>
        <v>0</v>
      </c>
      <c r="W29" s="76">
        <f>715+196+73+89+24+176+13+8+44+96+41</f>
        <v>1475</v>
      </c>
      <c r="X29" s="153">
        <f aca="true" t="shared" si="19" ref="X29:X52">W29/G29*100</f>
        <v>44.33423504658852</v>
      </c>
    </row>
    <row r="30" spans="1:24" ht="9.75" customHeight="1">
      <c r="A30" s="323"/>
      <c r="B30" s="77" t="s">
        <v>1</v>
      </c>
      <c r="C30" s="78"/>
      <c r="D30" s="79">
        <f>20621+13051+3456+2854+2416+4548+883+1062+1447+4434+1355</f>
        <v>56127</v>
      </c>
      <c r="E30" s="79">
        <f>7126+3785+869+710+697+1370+244+283+239+995+269</f>
        <v>16587</v>
      </c>
      <c r="F30" s="91">
        <f>E30/D30*100</f>
        <v>29.552621732855844</v>
      </c>
      <c r="G30" s="80">
        <f>1440+631+466+406+98+544+53+107+174+264+184</f>
        <v>4367</v>
      </c>
      <c r="H30" s="29">
        <f aca="true" t="shared" si="20" ref="H30:H38">G30/E30*100</f>
        <v>26.32784710918189</v>
      </c>
      <c r="I30" s="28">
        <f aca="true" t="shared" si="21" ref="I30:I38">SUM(M30:R30)</f>
        <v>37</v>
      </c>
      <c r="J30" s="29">
        <f aca="true" t="shared" si="22" ref="J30:J38">I30/G30*100</f>
        <v>0.8472635676665903</v>
      </c>
      <c r="K30" s="28">
        <f aca="true" t="shared" si="23" ref="K30:K38">SUM(M30:P30)</f>
        <v>31</v>
      </c>
      <c r="L30" s="29">
        <f aca="true" t="shared" si="24" ref="L30:L38">K30/I30*100</f>
        <v>83.78378378378379</v>
      </c>
      <c r="M30" s="28">
        <f>10+3+4</f>
        <v>17</v>
      </c>
      <c r="N30" s="28">
        <v>0</v>
      </c>
      <c r="O30" s="28">
        <v>0</v>
      </c>
      <c r="P30" s="28">
        <f>7+1+1+3+1+1</f>
        <v>14</v>
      </c>
      <c r="Q30" s="28">
        <v>3</v>
      </c>
      <c r="R30" s="142">
        <f>1+1+1</f>
        <v>3</v>
      </c>
      <c r="S30" s="148">
        <f aca="true" t="shared" si="25" ref="S30:S40">N30/G30*100</f>
        <v>0</v>
      </c>
      <c r="T30" s="275">
        <v>0</v>
      </c>
      <c r="U30" s="172">
        <f aca="true" t="shared" si="26" ref="U30:U40">T30/G30</f>
        <v>0</v>
      </c>
      <c r="V30" s="29">
        <f aca="true" t="shared" si="27" ref="V30:V40">N30/K30*100</f>
        <v>0</v>
      </c>
      <c r="W30" s="79">
        <f>663+184+72+71+16+93+6+13+36+78+30</f>
        <v>1262</v>
      </c>
      <c r="X30" s="154">
        <f t="shared" si="19"/>
        <v>28.898557362033433</v>
      </c>
    </row>
    <row r="31" spans="1:24" ht="9.75" customHeight="1">
      <c r="A31" s="323"/>
      <c r="B31" s="77" t="s">
        <v>2</v>
      </c>
      <c r="C31" s="78"/>
      <c r="D31" s="79">
        <f>20238+13706+4018+3266+2638+5240+1095+1149+1703+4841+1626</f>
        <v>59520</v>
      </c>
      <c r="E31" s="79">
        <f>8140+5328+1256+816+873+1799+319+341+463+1319+347</f>
        <v>21001</v>
      </c>
      <c r="F31" s="91">
        <f aca="true" t="shared" si="28" ref="F31:F37">E31/D31*100</f>
        <v>35.28393817204301</v>
      </c>
      <c r="G31" s="80">
        <f>1851+803+596+525+145+743+88+154+253+371+244</f>
        <v>5773</v>
      </c>
      <c r="H31" s="29">
        <f t="shared" si="20"/>
        <v>27.489167182515118</v>
      </c>
      <c r="I31" s="28">
        <f t="shared" si="21"/>
        <v>82</v>
      </c>
      <c r="J31" s="29">
        <f t="shared" si="22"/>
        <v>1.420405335181015</v>
      </c>
      <c r="K31" s="28">
        <f t="shared" si="23"/>
        <v>72</v>
      </c>
      <c r="L31" s="29">
        <f t="shared" si="24"/>
        <v>87.8048780487805</v>
      </c>
      <c r="M31" s="28">
        <f>9+8+1+5+1+1+4+2</f>
        <v>31</v>
      </c>
      <c r="N31" s="28">
        <v>0</v>
      </c>
      <c r="O31" s="28">
        <f>1+1</f>
        <v>2</v>
      </c>
      <c r="P31" s="28">
        <f>13+7+3+5+2+6+1+1+1</f>
        <v>39</v>
      </c>
      <c r="Q31" s="28">
        <v>3</v>
      </c>
      <c r="R31" s="142">
        <f>4+2+1</f>
        <v>7</v>
      </c>
      <c r="S31" s="148">
        <f t="shared" si="25"/>
        <v>0</v>
      </c>
      <c r="T31" s="275">
        <v>0</v>
      </c>
      <c r="U31" s="172">
        <f t="shared" si="26"/>
        <v>0</v>
      </c>
      <c r="V31" s="29">
        <f t="shared" si="27"/>
        <v>0</v>
      </c>
      <c r="W31" s="79">
        <f>769+242+64+86+35+143+17+19+39+131+37</f>
        <v>1582</v>
      </c>
      <c r="X31" s="154">
        <f t="shared" si="19"/>
        <v>27.403429759223975</v>
      </c>
    </row>
    <row r="32" spans="1:24" ht="9.75" customHeight="1">
      <c r="A32" s="323"/>
      <c r="B32" s="77" t="s">
        <v>3</v>
      </c>
      <c r="C32" s="78"/>
      <c r="D32" s="79">
        <f>25785+18556+5427+4621+3337+6543+1282+1391+2103+5731+2068</f>
        <v>76844</v>
      </c>
      <c r="E32" s="79">
        <f>12202+8895+2323+1616+1482+2898+497+587+729+2038+639</f>
        <v>33906</v>
      </c>
      <c r="F32" s="91">
        <f t="shared" si="28"/>
        <v>44.12315860704805</v>
      </c>
      <c r="G32" s="80">
        <f>3255+1592+1116+1008+310+1278+191+345+477+684+497</f>
        <v>10753</v>
      </c>
      <c r="H32" s="29">
        <f t="shared" si="20"/>
        <v>31.71415088774848</v>
      </c>
      <c r="I32" s="28">
        <f t="shared" si="21"/>
        <v>168</v>
      </c>
      <c r="J32" s="29">
        <f t="shared" si="22"/>
        <v>1.5623546917139404</v>
      </c>
      <c r="K32" s="28">
        <f t="shared" si="23"/>
        <v>128</v>
      </c>
      <c r="L32" s="29">
        <f t="shared" si="24"/>
        <v>76.19047619047619</v>
      </c>
      <c r="M32" s="28">
        <f>22+9+5+6+1+3+1+1+5+6+2</f>
        <v>61</v>
      </c>
      <c r="N32" s="28">
        <v>1</v>
      </c>
      <c r="O32" s="28">
        <f>3+1</f>
        <v>4</v>
      </c>
      <c r="P32" s="28">
        <f>24+15+8+4+3+2+1+4+1</f>
        <v>62</v>
      </c>
      <c r="Q32" s="28">
        <f>9+2+4</f>
        <v>15</v>
      </c>
      <c r="R32" s="142">
        <f>7+4+10+1+2+1</f>
        <v>25</v>
      </c>
      <c r="S32" s="148">
        <f t="shared" si="25"/>
        <v>0.009299730307821073</v>
      </c>
      <c r="T32" s="275">
        <v>0</v>
      </c>
      <c r="U32" s="172">
        <f t="shared" si="26"/>
        <v>0</v>
      </c>
      <c r="V32" s="29">
        <f t="shared" si="27"/>
        <v>0.78125</v>
      </c>
      <c r="W32" s="79">
        <f>1225+406+140+107+41+201+32+58+80+203+79</f>
        <v>2572</v>
      </c>
      <c r="X32" s="154">
        <f t="shared" si="19"/>
        <v>23.918906351715798</v>
      </c>
    </row>
    <row r="33" spans="1:24" ht="9.75" customHeight="1">
      <c r="A33" s="323"/>
      <c r="B33" s="77" t="s">
        <v>4</v>
      </c>
      <c r="C33" s="78"/>
      <c r="D33" s="79">
        <f>23370+17482+4840+4112+2771+6492+1214+1205+1849+4797+1736</f>
        <v>69868</v>
      </c>
      <c r="E33" s="79">
        <f>15302+11119+3267+2258+1785+3641+602+701+1182+2762+776</f>
        <v>43395</v>
      </c>
      <c r="F33" s="91">
        <f t="shared" si="28"/>
        <v>62.10997881719814</v>
      </c>
      <c r="G33" s="80">
        <f>5435+2708+1805+1527+594+2181+310+471+600+1087+651</f>
        <v>17369</v>
      </c>
      <c r="H33" s="29">
        <f t="shared" si="20"/>
        <v>40.02534854245881</v>
      </c>
      <c r="I33" s="28">
        <f t="shared" si="21"/>
        <v>339</v>
      </c>
      <c r="J33" s="29">
        <f t="shared" si="22"/>
        <v>1.9517531233807357</v>
      </c>
      <c r="K33" s="28">
        <f t="shared" si="23"/>
        <v>277</v>
      </c>
      <c r="L33" s="29">
        <f t="shared" si="24"/>
        <v>81.71091445427729</v>
      </c>
      <c r="M33" s="28">
        <f>46+16+12+15+5+6+2+4+13+14+1</f>
        <v>134</v>
      </c>
      <c r="N33" s="28">
        <f>2+1</f>
        <v>3</v>
      </c>
      <c r="O33" s="28">
        <f>1+1+1+1+1+1</f>
        <v>6</v>
      </c>
      <c r="P33" s="28">
        <f>48+24+18+12+4+4+4+4+5+11</f>
        <v>134</v>
      </c>
      <c r="Q33" s="28">
        <f>12+4+3+4+1</f>
        <v>24</v>
      </c>
      <c r="R33" s="142">
        <f>7+4+2+3+10+1+3+1+6+1</f>
        <v>38</v>
      </c>
      <c r="S33" s="148">
        <f t="shared" si="25"/>
        <v>0.017272151534342795</v>
      </c>
      <c r="T33" s="275">
        <f>1+1</f>
        <v>2</v>
      </c>
      <c r="U33" s="172">
        <f t="shared" si="26"/>
        <v>0.00011514767689561863</v>
      </c>
      <c r="V33" s="29">
        <f t="shared" si="27"/>
        <v>1.083032490974729</v>
      </c>
      <c r="W33" s="79">
        <f>2031+698+254+199+87+366+50+47+101+262+82</f>
        <v>4177</v>
      </c>
      <c r="X33" s="154">
        <f t="shared" si="19"/>
        <v>24.04859231964995</v>
      </c>
    </row>
    <row r="34" spans="1:24" ht="9.75" customHeight="1">
      <c r="A34" s="323"/>
      <c r="B34" s="77" t="s">
        <v>5</v>
      </c>
      <c r="C34" s="78"/>
      <c r="D34" s="79">
        <f>20177+14864+4221+3629+2266+5911+1281+1199+1793+4698+1650</f>
        <v>61689</v>
      </c>
      <c r="E34" s="79">
        <f>15385+10786+3549+2598+1801+3934+837+789+1595+3534+942</f>
        <v>45750</v>
      </c>
      <c r="F34" s="91">
        <f t="shared" si="28"/>
        <v>74.16233039926081</v>
      </c>
      <c r="G34" s="80">
        <f>6708+3171+2026+1926+345+2817+484+581+797+1315+815</f>
        <v>20985</v>
      </c>
      <c r="H34" s="29">
        <f t="shared" si="20"/>
        <v>45.868852459016395</v>
      </c>
      <c r="I34" s="28">
        <f t="shared" si="21"/>
        <v>500</v>
      </c>
      <c r="J34" s="29">
        <f t="shared" si="22"/>
        <v>2.382654276864427</v>
      </c>
      <c r="K34" s="28">
        <f t="shared" si="23"/>
        <v>420</v>
      </c>
      <c r="L34" s="29">
        <f t="shared" si="24"/>
        <v>84</v>
      </c>
      <c r="M34" s="28">
        <f>51+24+22+17+6+7+1+11+11+12+4</f>
        <v>166</v>
      </c>
      <c r="N34" s="28">
        <f>2+1+1+1</f>
        <v>5</v>
      </c>
      <c r="O34" s="28">
        <f>6+3+1+2</f>
        <v>12</v>
      </c>
      <c r="P34" s="28">
        <f>95+32+26+33+5+19+2+9+6+7+3</f>
        <v>237</v>
      </c>
      <c r="Q34" s="28">
        <f>22+5+2</f>
        <v>29</v>
      </c>
      <c r="R34" s="142">
        <f>10+1+5+4+19+2+5+4+1</f>
        <v>51</v>
      </c>
      <c r="S34" s="148">
        <f t="shared" si="25"/>
        <v>0.02382654276864427</v>
      </c>
      <c r="T34" s="275">
        <v>1</v>
      </c>
      <c r="U34" s="172">
        <f t="shared" si="26"/>
        <v>4.765308553728854E-05</v>
      </c>
      <c r="V34" s="29">
        <f t="shared" si="27"/>
        <v>1.1904761904761905</v>
      </c>
      <c r="W34" s="79">
        <f>2013+694+256+272+52+413+46+41+99+239+86</f>
        <v>4211</v>
      </c>
      <c r="X34" s="154">
        <f t="shared" si="19"/>
        <v>20.066714319752204</v>
      </c>
    </row>
    <row r="35" spans="1:24" ht="9.75" customHeight="1">
      <c r="A35" s="323"/>
      <c r="B35" s="77" t="s">
        <v>6</v>
      </c>
      <c r="C35" s="78"/>
      <c r="D35" s="79">
        <f>18787+12945+4259+3452+2224+5755+1506+1607+2079+5145+1943</f>
        <v>59702</v>
      </c>
      <c r="E35" s="79">
        <f>15402+19040+3859+2600+1952+4351+1216+1084+2005+4333+1177</f>
        <v>57019</v>
      </c>
      <c r="F35" s="91">
        <f t="shared" si="28"/>
        <v>95.50601319888781</v>
      </c>
      <c r="G35" s="80">
        <f>7504+2427+1756+1831+300+2618+649+812+937+1639+1028</f>
        <v>21501</v>
      </c>
      <c r="H35" s="29">
        <f t="shared" si="20"/>
        <v>37.708483137199885</v>
      </c>
      <c r="I35" s="28">
        <f t="shared" si="21"/>
        <v>683</v>
      </c>
      <c r="J35" s="29">
        <f t="shared" si="22"/>
        <v>3.176596437375006</v>
      </c>
      <c r="K35" s="28">
        <f t="shared" si="23"/>
        <v>570</v>
      </c>
      <c r="L35" s="29">
        <f t="shared" si="24"/>
        <v>83.45534407027819</v>
      </c>
      <c r="M35" s="28">
        <f>74+36+19+35+5+13+5+18+22+19+2</f>
        <v>248</v>
      </c>
      <c r="N35" s="28">
        <f>1+1+1+2+2+1+1+1+1</f>
        <v>11</v>
      </c>
      <c r="O35" s="28">
        <f>8+3+1+1+2+1</f>
        <v>16</v>
      </c>
      <c r="P35" s="28">
        <f>124+30+26+40+4+26+6+12+7+17+3</f>
        <v>295</v>
      </c>
      <c r="Q35" s="28">
        <f>37+3+2+1+4</f>
        <v>47</v>
      </c>
      <c r="R35" s="142">
        <f>25+1+2+1+1+16+5+6+3+6</f>
        <v>66</v>
      </c>
      <c r="S35" s="148">
        <f t="shared" si="25"/>
        <v>0.05116041114366774</v>
      </c>
      <c r="T35" s="275">
        <v>1</v>
      </c>
      <c r="U35" s="172">
        <f t="shared" si="26"/>
        <v>4.650946467606158E-05</v>
      </c>
      <c r="V35" s="29">
        <f t="shared" si="27"/>
        <v>1.9298245614035088</v>
      </c>
      <c r="W35" s="79">
        <f>1655+558+240+193+40+361+49+43+134+240+93</f>
        <v>3606</v>
      </c>
      <c r="X35" s="154">
        <f t="shared" si="19"/>
        <v>16.771312962187807</v>
      </c>
    </row>
    <row r="36" spans="1:24" ht="9.75" customHeight="1">
      <c r="A36" s="323"/>
      <c r="B36" s="77" t="s">
        <v>7</v>
      </c>
      <c r="C36" s="78"/>
      <c r="D36" s="79">
        <f>17226+11053+4004+3159+1920+5879+1631+1576+2226+5105+2193</f>
        <v>55972</v>
      </c>
      <c r="E36" s="79">
        <f>15350+8885+3730+2436+1662+4203+1286+896+2165+4310+1161</f>
        <v>46084</v>
      </c>
      <c r="F36" s="91">
        <f t="shared" si="28"/>
        <v>82.33402415493461</v>
      </c>
      <c r="G36" s="80">
        <f>6786+1578+1397+1523+215+2347+628+579+821+1628+1042</f>
        <v>18544</v>
      </c>
      <c r="H36" s="29">
        <f t="shared" si="20"/>
        <v>40.23956253797413</v>
      </c>
      <c r="I36" s="28">
        <f t="shared" si="21"/>
        <v>675</v>
      </c>
      <c r="J36" s="29">
        <f t="shared" si="22"/>
        <v>3.639991371872304</v>
      </c>
      <c r="K36" s="28">
        <f t="shared" si="23"/>
        <v>547</v>
      </c>
      <c r="L36" s="29">
        <f t="shared" si="24"/>
        <v>81.03703703703704</v>
      </c>
      <c r="M36" s="28">
        <f>67+12+17+23+2+5+9+12+21+27+5</f>
        <v>200</v>
      </c>
      <c r="N36" s="28">
        <f>4+2+1+2+1</f>
        <v>10</v>
      </c>
      <c r="O36" s="28">
        <f>6+2+1+2+3+2+1</f>
        <v>17</v>
      </c>
      <c r="P36" s="28">
        <f>136+24+33+32+7+28+12+11+12+21+4</f>
        <v>320</v>
      </c>
      <c r="Q36" s="28">
        <f>40+2+1+2</f>
        <v>45</v>
      </c>
      <c r="R36" s="142">
        <f>27+4+1+30+3+9+5+3+1</f>
        <v>83</v>
      </c>
      <c r="S36" s="148">
        <f t="shared" si="25"/>
        <v>0.05392579810181191</v>
      </c>
      <c r="T36" s="275">
        <v>1</v>
      </c>
      <c r="U36" s="172">
        <f t="shared" si="26"/>
        <v>5.392579810181191E-05</v>
      </c>
      <c r="V36" s="29">
        <f t="shared" si="27"/>
        <v>1.8281535648994516</v>
      </c>
      <c r="W36" s="79">
        <f>1020+305+153+145+17+277+36+21+115+266+80</f>
        <v>2435</v>
      </c>
      <c r="X36" s="154">
        <f t="shared" si="19"/>
        <v>13.130931837791199</v>
      </c>
    </row>
    <row r="37" spans="1:24" ht="9.75" customHeight="1">
      <c r="A37" s="323"/>
      <c r="B37" s="81" t="s">
        <v>8</v>
      </c>
      <c r="C37" s="82"/>
      <c r="D37" s="83">
        <f>25791+16587+6540+5184+3108+10302+3206+2494+4085+7925+4199</f>
        <v>89421</v>
      </c>
      <c r="E37" s="83">
        <f>23408+12702+5577+3315+2700+6571+2016+865+3003+6285+1049</f>
        <v>67491</v>
      </c>
      <c r="F37" s="91">
        <f t="shared" si="28"/>
        <v>75.4755594323481</v>
      </c>
      <c r="G37" s="48">
        <f>6871+987+1125+1324+103+1885+546+317+718+1374+824</f>
        <v>16074</v>
      </c>
      <c r="H37" s="106">
        <f t="shared" si="20"/>
        <v>23.816508867849045</v>
      </c>
      <c r="I37" s="139">
        <f t="shared" si="21"/>
        <v>802</v>
      </c>
      <c r="J37" s="106">
        <f t="shared" si="22"/>
        <v>4.989423914395919</v>
      </c>
      <c r="K37" s="139">
        <f t="shared" si="23"/>
        <v>604</v>
      </c>
      <c r="L37" s="106">
        <f t="shared" si="24"/>
        <v>75.31172069825436</v>
      </c>
      <c r="M37" s="52">
        <f>82+7+21+11+1+14+8+11+17+16+11</f>
        <v>199</v>
      </c>
      <c r="N37" s="52">
        <f>2+1+2+2+1+1</f>
        <v>9</v>
      </c>
      <c r="O37" s="52">
        <f>15+1+2+1+1</f>
        <v>20</v>
      </c>
      <c r="P37" s="52">
        <f>172+20+26+47+1+30+11+9+26+27+7</f>
        <v>376</v>
      </c>
      <c r="Q37" s="52">
        <f>59+1+13+1+1</f>
        <v>75</v>
      </c>
      <c r="R37" s="143">
        <f>49+2+4+2+32+6+7+9+9+3</f>
        <v>123</v>
      </c>
      <c r="S37" s="150">
        <f t="shared" si="25"/>
        <v>0.055991041433370664</v>
      </c>
      <c r="T37" s="276">
        <v>1</v>
      </c>
      <c r="U37" s="175">
        <f t="shared" si="26"/>
        <v>6.221226825930074E-05</v>
      </c>
      <c r="V37" s="106">
        <f t="shared" si="27"/>
        <v>1.490066225165563</v>
      </c>
      <c r="W37" s="83">
        <f>1134+206+147+217+10+273+61+24+104+241+102</f>
        <v>2519</v>
      </c>
      <c r="X37" s="155">
        <f t="shared" si="19"/>
        <v>15.671270374517853</v>
      </c>
    </row>
    <row r="38" spans="1:24" ht="9.75" customHeight="1">
      <c r="A38" s="323"/>
      <c r="B38" s="60" t="s">
        <v>9</v>
      </c>
      <c r="C38" s="59"/>
      <c r="D38" s="33">
        <f>SUM(D29:D37)</f>
        <v>585408</v>
      </c>
      <c r="E38" s="33">
        <f>SUM(E29:E37)</f>
        <v>349107</v>
      </c>
      <c r="F38" s="34">
        <f>E38/D38*100</f>
        <v>59.6348187930469</v>
      </c>
      <c r="G38" s="35">
        <f>SUM(G29:G37)</f>
        <v>118693</v>
      </c>
      <c r="H38" s="36">
        <f t="shared" si="20"/>
        <v>33.99903181546059</v>
      </c>
      <c r="I38" s="39">
        <f t="shared" si="21"/>
        <v>3312</v>
      </c>
      <c r="J38" s="36">
        <f t="shared" si="22"/>
        <v>2.7903920197484267</v>
      </c>
      <c r="K38" s="39">
        <f t="shared" si="23"/>
        <v>2669</v>
      </c>
      <c r="L38" s="36">
        <f t="shared" si="24"/>
        <v>80.58574879227052</v>
      </c>
      <c r="M38" s="33">
        <f aca="true" t="shared" si="29" ref="M38:R38">SUM(M29:M37)</f>
        <v>1070</v>
      </c>
      <c r="N38" s="33">
        <f t="shared" si="29"/>
        <v>39</v>
      </c>
      <c r="O38" s="33">
        <f t="shared" si="29"/>
        <v>77</v>
      </c>
      <c r="P38" s="33">
        <f t="shared" si="29"/>
        <v>1483</v>
      </c>
      <c r="Q38" s="33">
        <f t="shared" si="29"/>
        <v>242</v>
      </c>
      <c r="R38" s="144">
        <f t="shared" si="29"/>
        <v>401</v>
      </c>
      <c r="S38" s="152">
        <f t="shared" si="25"/>
        <v>0.03285787704413908</v>
      </c>
      <c r="T38" s="277">
        <f>SUM(T29:T37)</f>
        <v>6</v>
      </c>
      <c r="U38" s="176">
        <f t="shared" si="26"/>
        <v>5.055058006790628E-05</v>
      </c>
      <c r="V38" s="36">
        <f t="shared" si="27"/>
        <v>1.4612214312476584</v>
      </c>
      <c r="W38" s="33">
        <f>SUM(W29:W37)</f>
        <v>23839</v>
      </c>
      <c r="X38" s="156">
        <f t="shared" si="19"/>
        <v>20.084587970646965</v>
      </c>
    </row>
    <row r="39" spans="1:24" ht="9.75" customHeight="1">
      <c r="A39" s="323"/>
      <c r="B39" s="13" t="s">
        <v>10</v>
      </c>
      <c r="C39" s="88" t="s">
        <v>11</v>
      </c>
      <c r="D39" s="94" t="s">
        <v>80</v>
      </c>
      <c r="E39" s="94" t="s">
        <v>79</v>
      </c>
      <c r="F39" s="94" t="s">
        <v>79</v>
      </c>
      <c r="G39" s="47">
        <f>30721+508+4241</f>
        <v>35470</v>
      </c>
      <c r="H39" s="140" t="s">
        <v>79</v>
      </c>
      <c r="I39" s="53">
        <f>SUM(M39:R39)</f>
        <v>1298</v>
      </c>
      <c r="J39" s="56">
        <f>I39/G39*100</f>
        <v>3.6594305046518185</v>
      </c>
      <c r="K39" s="53">
        <f>SUM(M39:P39)</f>
        <v>990</v>
      </c>
      <c r="L39" s="56">
        <f>K39/I39*100</f>
        <v>76.27118644067797</v>
      </c>
      <c r="M39" s="38">
        <f>307+12+37</f>
        <v>356</v>
      </c>
      <c r="N39" s="38">
        <v>7</v>
      </c>
      <c r="O39" s="38">
        <f>36+3</f>
        <v>39</v>
      </c>
      <c r="P39" s="38">
        <f>550+12+26</f>
        <v>588</v>
      </c>
      <c r="Q39" s="38">
        <v>172</v>
      </c>
      <c r="R39" s="145">
        <f>110+18+8</f>
        <v>136</v>
      </c>
      <c r="S39" s="151">
        <f t="shared" si="25"/>
        <v>0.01973498731322244</v>
      </c>
      <c r="T39" s="278">
        <v>0</v>
      </c>
      <c r="U39" s="177">
        <f t="shared" si="26"/>
        <v>0</v>
      </c>
      <c r="V39" s="123">
        <f t="shared" si="27"/>
        <v>0.7070707070707071</v>
      </c>
      <c r="W39" s="284">
        <f>7791+149+1257</f>
        <v>9197</v>
      </c>
      <c r="X39" s="160">
        <f t="shared" si="19"/>
        <v>25.9289540456724</v>
      </c>
    </row>
    <row r="40" spans="1:24" ht="9.75" customHeight="1" thickBot="1">
      <c r="A40" s="324"/>
      <c r="B40" s="13" t="s">
        <v>12</v>
      </c>
      <c r="C40" s="13" t="s">
        <v>13</v>
      </c>
      <c r="D40" s="95" t="s">
        <v>80</v>
      </c>
      <c r="E40" s="95" t="s">
        <v>79</v>
      </c>
      <c r="F40" s="96" t="s">
        <v>79</v>
      </c>
      <c r="G40" s="85">
        <f>10239+14334+10612+10390+2187+14901+2997+2928+4919+4299+5417</f>
        <v>83223</v>
      </c>
      <c r="H40" s="95" t="s">
        <v>79</v>
      </c>
      <c r="I40" s="86">
        <f>SUM(M40:R40)</f>
        <v>2014</v>
      </c>
      <c r="J40" s="93">
        <f>I40/G40*100</f>
        <v>2.4200040854090816</v>
      </c>
      <c r="K40" s="86">
        <f>SUM(M40:P40)</f>
        <v>1679</v>
      </c>
      <c r="L40" s="93">
        <f>K40/I40*100</f>
        <v>83.36643495531281</v>
      </c>
      <c r="M40" s="86">
        <f>57+112+100+118+20+49+27+46+99+61+25</f>
        <v>714</v>
      </c>
      <c r="N40" s="86">
        <f>7+4+4+2+5+1+3+2+3+1</f>
        <v>32</v>
      </c>
      <c r="O40" s="86">
        <f>1+8+8+3+2+4+6+1+4+1</f>
        <v>38</v>
      </c>
      <c r="P40" s="86">
        <f>71+154+142+177+26+116+36+35+62+59+17</f>
        <v>895</v>
      </c>
      <c r="Q40" s="86">
        <f>13+16+20+7+12+2</f>
        <v>70</v>
      </c>
      <c r="R40" s="146">
        <f>15+4+16+15+7+124+17+13+26+22+6</f>
        <v>265</v>
      </c>
      <c r="S40" s="149">
        <f t="shared" si="25"/>
        <v>0.03845090900352066</v>
      </c>
      <c r="T40" s="279">
        <f>1+2+3</f>
        <v>6</v>
      </c>
      <c r="U40" s="173">
        <f t="shared" si="26"/>
        <v>7.209545438160124E-05</v>
      </c>
      <c r="V40" s="93">
        <f t="shared" si="27"/>
        <v>1.9058963668850508</v>
      </c>
      <c r="W40" s="285">
        <f>3434+3489+1399+1379+322+2303+310+125+752+499+630</f>
        <v>14642</v>
      </c>
      <c r="X40" s="159">
        <f t="shared" si="19"/>
        <v>17.59369405092342</v>
      </c>
    </row>
    <row r="41" spans="1:24" ht="9.75" customHeight="1">
      <c r="A41" s="322" t="s">
        <v>98</v>
      </c>
      <c r="B41" s="74" t="s">
        <v>76</v>
      </c>
      <c r="C41" s="75"/>
      <c r="D41" s="181"/>
      <c r="E41" s="181"/>
      <c r="F41" s="187"/>
      <c r="G41" s="50">
        <f>2+2+1+3+1+3</f>
        <v>12</v>
      </c>
      <c r="H41" s="191"/>
      <c r="I41" s="54">
        <f>SUM(M41:R41)</f>
        <v>1</v>
      </c>
      <c r="J41" s="92">
        <f>I41/G41*100</f>
        <v>8.333333333333332</v>
      </c>
      <c r="K41" s="54">
        <f>SUM(M41:P41)</f>
        <v>1</v>
      </c>
      <c r="L41" s="92">
        <f>K41/I41*100</f>
        <v>100</v>
      </c>
      <c r="M41" s="54">
        <v>1</v>
      </c>
      <c r="N41" s="54">
        <v>0</v>
      </c>
      <c r="O41" s="54">
        <v>0</v>
      </c>
      <c r="P41" s="54">
        <v>0</v>
      </c>
      <c r="Q41" s="54">
        <v>0</v>
      </c>
      <c r="R41" s="141">
        <v>0</v>
      </c>
      <c r="S41" s="147">
        <f>N41/G41*100</f>
        <v>0</v>
      </c>
      <c r="T41" s="274">
        <v>0</v>
      </c>
      <c r="U41" s="171">
        <f>T41/G41</f>
        <v>0</v>
      </c>
      <c r="V41" s="92">
        <f>N41/K41*100</f>
        <v>0</v>
      </c>
      <c r="W41" s="286">
        <f>2+2+1+1+1</f>
        <v>7</v>
      </c>
      <c r="X41" s="153">
        <f t="shared" si="19"/>
        <v>58.333333333333336</v>
      </c>
    </row>
    <row r="42" spans="1:24" ht="9.75" customHeight="1">
      <c r="A42" s="323"/>
      <c r="B42" s="77" t="s">
        <v>1</v>
      </c>
      <c r="C42" s="78"/>
      <c r="D42" s="182"/>
      <c r="E42" s="182"/>
      <c r="F42" s="188"/>
      <c r="G42" s="80">
        <f>1+1+1+1+2+1</f>
        <v>7</v>
      </c>
      <c r="H42" s="192"/>
      <c r="I42" s="28">
        <f aca="true" t="shared" si="30" ref="I42:I50">SUM(M42:R42)</f>
        <v>0</v>
      </c>
      <c r="J42" s="29">
        <f aca="true" t="shared" si="31" ref="J42:J50">I42/G42*100</f>
        <v>0</v>
      </c>
      <c r="K42" s="28">
        <f aca="true" t="shared" si="32" ref="K42:K50">SUM(M42:P42)</f>
        <v>0</v>
      </c>
      <c r="L42" s="29" t="e">
        <f aca="true" t="shared" si="33" ref="L42:L50">K42/I42*100</f>
        <v>#DIV/0!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142">
        <v>0</v>
      </c>
      <c r="S42" s="148">
        <f aca="true" t="shared" si="34" ref="S42:S52">N42/G42*100</f>
        <v>0</v>
      </c>
      <c r="T42" s="275">
        <v>0</v>
      </c>
      <c r="U42" s="172">
        <f aca="true" t="shared" si="35" ref="U42:U52">T42/G42</f>
        <v>0</v>
      </c>
      <c r="V42" s="29" t="e">
        <f aca="true" t="shared" si="36" ref="V42:V52">N42/K42*100</f>
        <v>#DIV/0!</v>
      </c>
      <c r="W42" s="287">
        <f>1+1+1+2</f>
        <v>5</v>
      </c>
      <c r="X42" s="154">
        <f t="shared" si="19"/>
        <v>71.42857142857143</v>
      </c>
    </row>
    <row r="43" spans="1:24" ht="9.75" customHeight="1">
      <c r="A43" s="323"/>
      <c r="B43" s="77" t="s">
        <v>2</v>
      </c>
      <c r="C43" s="78"/>
      <c r="D43" s="182"/>
      <c r="E43" s="182"/>
      <c r="F43" s="188"/>
      <c r="G43" s="80">
        <f>7+3+3+3+1+1+1+1</f>
        <v>20</v>
      </c>
      <c r="H43" s="192"/>
      <c r="I43" s="28">
        <f t="shared" si="30"/>
        <v>1</v>
      </c>
      <c r="J43" s="29">
        <f t="shared" si="31"/>
        <v>5</v>
      </c>
      <c r="K43" s="28">
        <f t="shared" si="32"/>
        <v>1</v>
      </c>
      <c r="L43" s="29">
        <f t="shared" si="33"/>
        <v>100</v>
      </c>
      <c r="M43" s="28">
        <v>0</v>
      </c>
      <c r="N43" s="28">
        <v>0</v>
      </c>
      <c r="O43" s="28">
        <v>0</v>
      </c>
      <c r="P43" s="28">
        <v>1</v>
      </c>
      <c r="Q43" s="28">
        <v>0</v>
      </c>
      <c r="R43" s="142">
        <v>0</v>
      </c>
      <c r="S43" s="148">
        <f t="shared" si="34"/>
        <v>0</v>
      </c>
      <c r="T43" s="275">
        <v>0</v>
      </c>
      <c r="U43" s="172">
        <f t="shared" si="35"/>
        <v>0</v>
      </c>
      <c r="V43" s="29">
        <f t="shared" si="36"/>
        <v>0</v>
      </c>
      <c r="W43" s="287">
        <f>4+3+1+2+1+1</f>
        <v>12</v>
      </c>
      <c r="X43" s="154">
        <f t="shared" si="19"/>
        <v>60</v>
      </c>
    </row>
    <row r="44" spans="1:24" ht="9.75" customHeight="1">
      <c r="A44" s="323"/>
      <c r="B44" s="77" t="s">
        <v>3</v>
      </c>
      <c r="C44" s="78"/>
      <c r="D44" s="182"/>
      <c r="E44" s="182"/>
      <c r="F44" s="188"/>
      <c r="G44" s="80">
        <f>15+4+4+9+4+4+3+4+1+4</f>
        <v>52</v>
      </c>
      <c r="H44" s="192"/>
      <c r="I44" s="28">
        <f t="shared" si="30"/>
        <v>1</v>
      </c>
      <c r="J44" s="29">
        <f t="shared" si="31"/>
        <v>1.9230769230769231</v>
      </c>
      <c r="K44" s="28">
        <f t="shared" si="32"/>
        <v>1</v>
      </c>
      <c r="L44" s="29">
        <f t="shared" si="33"/>
        <v>100</v>
      </c>
      <c r="M44" s="28">
        <v>1</v>
      </c>
      <c r="N44" s="28">
        <v>0</v>
      </c>
      <c r="O44" s="28">
        <v>0</v>
      </c>
      <c r="P44" s="28">
        <v>0</v>
      </c>
      <c r="Q44" s="28">
        <v>0</v>
      </c>
      <c r="R44" s="142">
        <v>0</v>
      </c>
      <c r="S44" s="148">
        <f t="shared" si="34"/>
        <v>0</v>
      </c>
      <c r="T44" s="275">
        <v>0</v>
      </c>
      <c r="U44" s="172">
        <f t="shared" si="35"/>
        <v>0</v>
      </c>
      <c r="V44" s="29">
        <f t="shared" si="36"/>
        <v>0</v>
      </c>
      <c r="W44" s="287">
        <f>5+3+2+4+1+3+2+1+1</f>
        <v>22</v>
      </c>
      <c r="X44" s="154">
        <f t="shared" si="19"/>
        <v>42.30769230769231</v>
      </c>
    </row>
    <row r="45" spans="1:24" ht="9.75" customHeight="1">
      <c r="A45" s="323"/>
      <c r="B45" s="77" t="s">
        <v>4</v>
      </c>
      <c r="C45" s="78"/>
      <c r="D45" s="182"/>
      <c r="E45" s="182"/>
      <c r="F45" s="188"/>
      <c r="G45" s="80">
        <f>16+14+3+23+6+5+2+1+1+3</f>
        <v>74</v>
      </c>
      <c r="H45" s="192"/>
      <c r="I45" s="28">
        <f t="shared" si="30"/>
        <v>1</v>
      </c>
      <c r="J45" s="29">
        <f t="shared" si="31"/>
        <v>1.3513513513513513</v>
      </c>
      <c r="K45" s="28">
        <f t="shared" si="32"/>
        <v>0</v>
      </c>
      <c r="L45" s="29">
        <f t="shared" si="33"/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142">
        <v>1</v>
      </c>
      <c r="S45" s="148">
        <f t="shared" si="34"/>
        <v>0</v>
      </c>
      <c r="T45" s="275">
        <v>0</v>
      </c>
      <c r="U45" s="172">
        <f t="shared" si="35"/>
        <v>0</v>
      </c>
      <c r="V45" s="29" t="e">
        <f t="shared" si="36"/>
        <v>#DIV/0!</v>
      </c>
      <c r="W45" s="287">
        <f>9+9+7+4+2+2+1+1+2</f>
        <v>37</v>
      </c>
      <c r="X45" s="154">
        <f t="shared" si="19"/>
        <v>50</v>
      </c>
    </row>
    <row r="46" spans="1:24" ht="9.75" customHeight="1">
      <c r="A46" s="323"/>
      <c r="B46" s="77" t="s">
        <v>5</v>
      </c>
      <c r="C46" s="78"/>
      <c r="D46" s="182"/>
      <c r="E46" s="182"/>
      <c r="F46" s="188"/>
      <c r="G46" s="80">
        <f>10+20+2+30+4+16+6+1+5+1+3</f>
        <v>98</v>
      </c>
      <c r="H46" s="192"/>
      <c r="I46" s="28">
        <f t="shared" si="30"/>
        <v>4</v>
      </c>
      <c r="J46" s="29">
        <f t="shared" si="31"/>
        <v>4.081632653061225</v>
      </c>
      <c r="K46" s="28">
        <f t="shared" si="32"/>
        <v>3</v>
      </c>
      <c r="L46" s="29">
        <f t="shared" si="33"/>
        <v>75</v>
      </c>
      <c r="M46" s="28">
        <v>0</v>
      </c>
      <c r="N46" s="28">
        <v>1</v>
      </c>
      <c r="O46" s="28">
        <v>0</v>
      </c>
      <c r="P46" s="28">
        <f>1+1</f>
        <v>2</v>
      </c>
      <c r="Q46" s="28">
        <v>0</v>
      </c>
      <c r="R46" s="142">
        <v>1</v>
      </c>
      <c r="S46" s="148">
        <f t="shared" si="34"/>
        <v>1.0204081632653061</v>
      </c>
      <c r="T46" s="275">
        <v>0</v>
      </c>
      <c r="U46" s="172">
        <f t="shared" si="35"/>
        <v>0</v>
      </c>
      <c r="V46" s="29">
        <f t="shared" si="36"/>
        <v>33.33333333333333</v>
      </c>
      <c r="W46" s="287">
        <f>8+18+4+3+4+2+1+5+1+2</f>
        <v>48</v>
      </c>
      <c r="X46" s="154">
        <f t="shared" si="19"/>
        <v>48.97959183673469</v>
      </c>
    </row>
    <row r="47" spans="1:24" ht="9.75" customHeight="1">
      <c r="A47" s="323"/>
      <c r="B47" s="77" t="s">
        <v>6</v>
      </c>
      <c r="C47" s="78"/>
      <c r="D47" s="182"/>
      <c r="E47" s="182"/>
      <c r="F47" s="188"/>
      <c r="G47" s="80">
        <f>12+14+5+30+2+14+11+3+4+5</f>
        <v>100</v>
      </c>
      <c r="H47" s="192"/>
      <c r="I47" s="28">
        <f t="shared" si="30"/>
        <v>1</v>
      </c>
      <c r="J47" s="29">
        <f t="shared" si="31"/>
        <v>1</v>
      </c>
      <c r="K47" s="28">
        <f t="shared" si="32"/>
        <v>1</v>
      </c>
      <c r="L47" s="29">
        <f t="shared" si="33"/>
        <v>100</v>
      </c>
      <c r="M47" s="28">
        <v>1</v>
      </c>
      <c r="N47" s="28">
        <v>0</v>
      </c>
      <c r="O47" s="28">
        <v>0</v>
      </c>
      <c r="P47" s="28">
        <v>0</v>
      </c>
      <c r="Q47" s="28">
        <v>0</v>
      </c>
      <c r="R47" s="142">
        <v>0</v>
      </c>
      <c r="S47" s="148">
        <f t="shared" si="34"/>
        <v>0</v>
      </c>
      <c r="T47" s="275">
        <v>0</v>
      </c>
      <c r="U47" s="172">
        <f t="shared" si="35"/>
        <v>0</v>
      </c>
      <c r="V47" s="29">
        <f t="shared" si="36"/>
        <v>0</v>
      </c>
      <c r="W47" s="287">
        <f>1+12+2+1+6+1+3+1</f>
        <v>27</v>
      </c>
      <c r="X47" s="154">
        <f t="shared" si="19"/>
        <v>27</v>
      </c>
    </row>
    <row r="48" spans="1:24" ht="9.75" customHeight="1">
      <c r="A48" s="323"/>
      <c r="B48" s="77" t="s">
        <v>7</v>
      </c>
      <c r="C48" s="78"/>
      <c r="D48" s="182"/>
      <c r="E48" s="182"/>
      <c r="F48" s="188"/>
      <c r="G48" s="80">
        <f>4+8+4+24+2+10+6+3+2+4</f>
        <v>67</v>
      </c>
      <c r="H48" s="192"/>
      <c r="I48" s="28">
        <f t="shared" si="30"/>
        <v>3</v>
      </c>
      <c r="J48" s="29">
        <f t="shared" si="31"/>
        <v>4.477611940298507</v>
      </c>
      <c r="K48" s="28">
        <f t="shared" si="32"/>
        <v>3</v>
      </c>
      <c r="L48" s="29">
        <f t="shared" si="33"/>
        <v>100</v>
      </c>
      <c r="M48" s="28">
        <v>1</v>
      </c>
      <c r="N48" s="28">
        <v>1</v>
      </c>
      <c r="O48" s="28">
        <v>0</v>
      </c>
      <c r="P48" s="28">
        <v>1</v>
      </c>
      <c r="Q48" s="28">
        <v>0</v>
      </c>
      <c r="R48" s="142">
        <v>0</v>
      </c>
      <c r="S48" s="148">
        <f t="shared" si="34"/>
        <v>1.4925373134328357</v>
      </c>
      <c r="T48" s="275">
        <v>1</v>
      </c>
      <c r="U48" s="172">
        <f t="shared" si="35"/>
        <v>0.014925373134328358</v>
      </c>
      <c r="V48" s="29">
        <f t="shared" si="36"/>
        <v>33.33333333333333</v>
      </c>
      <c r="W48" s="287">
        <f>2+5+4+2+3+3+1+3</f>
        <v>23</v>
      </c>
      <c r="X48" s="154">
        <f t="shared" si="19"/>
        <v>34.32835820895522</v>
      </c>
    </row>
    <row r="49" spans="1:24" ht="9.75" customHeight="1">
      <c r="A49" s="323"/>
      <c r="B49" s="81" t="s">
        <v>8</v>
      </c>
      <c r="C49" s="82"/>
      <c r="D49" s="183"/>
      <c r="E49" s="183"/>
      <c r="F49" s="188"/>
      <c r="G49" s="48">
        <f>2+4+3+11+2+3+4+1+4</f>
        <v>34</v>
      </c>
      <c r="H49" s="193"/>
      <c r="I49" s="139">
        <f t="shared" si="30"/>
        <v>1</v>
      </c>
      <c r="J49" s="106">
        <f t="shared" si="31"/>
        <v>2.941176470588235</v>
      </c>
      <c r="K49" s="139">
        <f t="shared" si="32"/>
        <v>1</v>
      </c>
      <c r="L49" s="106">
        <f t="shared" si="33"/>
        <v>100</v>
      </c>
      <c r="M49" s="52">
        <v>0</v>
      </c>
      <c r="N49" s="52">
        <v>0</v>
      </c>
      <c r="O49" s="52">
        <v>0</v>
      </c>
      <c r="P49" s="52">
        <v>1</v>
      </c>
      <c r="Q49" s="52">
        <v>0</v>
      </c>
      <c r="R49" s="143">
        <v>0</v>
      </c>
      <c r="S49" s="150">
        <f t="shared" si="34"/>
        <v>0</v>
      </c>
      <c r="T49" s="276">
        <v>0</v>
      </c>
      <c r="U49" s="175">
        <f t="shared" si="35"/>
        <v>0</v>
      </c>
      <c r="V49" s="106">
        <f t="shared" si="36"/>
        <v>0</v>
      </c>
      <c r="W49" s="288">
        <f>3+2+1+1+3+4</f>
        <v>14</v>
      </c>
      <c r="X49" s="155">
        <f t="shared" si="19"/>
        <v>41.17647058823529</v>
      </c>
    </row>
    <row r="50" spans="1:24" ht="9.75" customHeight="1">
      <c r="A50" s="323"/>
      <c r="B50" s="60" t="s">
        <v>9</v>
      </c>
      <c r="C50" s="59"/>
      <c r="D50" s="184"/>
      <c r="E50" s="184"/>
      <c r="F50" s="189"/>
      <c r="G50" s="35">
        <f>SUM(G41:G49)</f>
        <v>464</v>
      </c>
      <c r="H50" s="194"/>
      <c r="I50" s="39">
        <f t="shared" si="30"/>
        <v>13</v>
      </c>
      <c r="J50" s="36">
        <f t="shared" si="31"/>
        <v>2.8017241379310347</v>
      </c>
      <c r="K50" s="39">
        <f t="shared" si="32"/>
        <v>11</v>
      </c>
      <c r="L50" s="36">
        <f t="shared" si="33"/>
        <v>84.61538461538461</v>
      </c>
      <c r="M50" s="33">
        <f aca="true" t="shared" si="37" ref="M50:R50">SUM(M41:M49)</f>
        <v>4</v>
      </c>
      <c r="N50" s="33">
        <f t="shared" si="37"/>
        <v>2</v>
      </c>
      <c r="O50" s="33">
        <f t="shared" si="37"/>
        <v>0</v>
      </c>
      <c r="P50" s="33">
        <f t="shared" si="37"/>
        <v>5</v>
      </c>
      <c r="Q50" s="33">
        <f t="shared" si="37"/>
        <v>0</v>
      </c>
      <c r="R50" s="144">
        <f t="shared" si="37"/>
        <v>2</v>
      </c>
      <c r="S50" s="152">
        <f t="shared" si="34"/>
        <v>0.43103448275862066</v>
      </c>
      <c r="T50" s="277">
        <f>SUM(T41:T49)</f>
        <v>1</v>
      </c>
      <c r="U50" s="176">
        <f t="shared" si="35"/>
        <v>0.0021551724137931034</v>
      </c>
      <c r="V50" s="36">
        <f t="shared" si="36"/>
        <v>18.181818181818183</v>
      </c>
      <c r="W50" s="289">
        <f>SUM(W41:W49)</f>
        <v>195</v>
      </c>
      <c r="X50" s="156">
        <f t="shared" si="19"/>
        <v>42.025862068965516</v>
      </c>
    </row>
    <row r="51" spans="1:24" ht="9.75" customHeight="1">
      <c r="A51" s="323"/>
      <c r="B51" s="13" t="s">
        <v>10</v>
      </c>
      <c r="C51" s="61" t="s">
        <v>11</v>
      </c>
      <c r="D51" s="185"/>
      <c r="E51" s="185"/>
      <c r="F51" s="185"/>
      <c r="G51" s="47">
        <f>45+2</f>
        <v>47</v>
      </c>
      <c r="H51" s="195"/>
      <c r="I51" s="53">
        <f>SUM(M51:R51)</f>
        <v>0</v>
      </c>
      <c r="J51" s="56">
        <f>I51/G51*100</f>
        <v>0</v>
      </c>
      <c r="K51" s="53">
        <f>SUM(M51:P51)</f>
        <v>0</v>
      </c>
      <c r="L51" s="56" t="e">
        <f>K51/I51*100</f>
        <v>#DIV/0!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145">
        <v>0</v>
      </c>
      <c r="S51" s="151">
        <f t="shared" si="34"/>
        <v>0</v>
      </c>
      <c r="T51" s="278">
        <v>0</v>
      </c>
      <c r="U51" s="177">
        <f t="shared" si="35"/>
        <v>0</v>
      </c>
      <c r="V51" s="123" t="e">
        <f t="shared" si="36"/>
        <v>#DIV/0!</v>
      </c>
      <c r="W51" s="284">
        <f>16+2</f>
        <v>18</v>
      </c>
      <c r="X51" s="160">
        <f t="shared" si="19"/>
        <v>38.297872340425535</v>
      </c>
    </row>
    <row r="52" spans="1:24" ht="9.75" customHeight="1" thickBot="1">
      <c r="A52" s="324"/>
      <c r="B52" s="45" t="s">
        <v>12</v>
      </c>
      <c r="C52" s="84" t="s">
        <v>13</v>
      </c>
      <c r="D52" s="186"/>
      <c r="E52" s="186"/>
      <c r="F52" s="190"/>
      <c r="G52" s="85">
        <f>23+70+25+134+21+57+33+18+11+25</f>
        <v>417</v>
      </c>
      <c r="H52" s="186"/>
      <c r="I52" s="86">
        <f>SUM(M52:R52)</f>
        <v>13</v>
      </c>
      <c r="J52" s="93">
        <f>I52/G52*100</f>
        <v>3.117505995203837</v>
      </c>
      <c r="K52" s="86">
        <f>SUM(M52:P52)</f>
        <v>11</v>
      </c>
      <c r="L52" s="93">
        <f>K52/I52*100</f>
        <v>84.61538461538461</v>
      </c>
      <c r="M52" s="86">
        <f>3+1</f>
        <v>4</v>
      </c>
      <c r="N52" s="86">
        <f>1+1</f>
        <v>2</v>
      </c>
      <c r="O52" s="86">
        <v>0</v>
      </c>
      <c r="P52" s="86">
        <f>1+3+1</f>
        <v>5</v>
      </c>
      <c r="Q52" s="86">
        <v>0</v>
      </c>
      <c r="R52" s="146">
        <v>2</v>
      </c>
      <c r="S52" s="149">
        <f t="shared" si="34"/>
        <v>0.4796163069544364</v>
      </c>
      <c r="T52" s="279">
        <v>1</v>
      </c>
      <c r="U52" s="173">
        <f t="shared" si="35"/>
        <v>0.002398081534772182</v>
      </c>
      <c r="V52" s="93">
        <f t="shared" si="36"/>
        <v>18.181818181818183</v>
      </c>
      <c r="W52" s="285">
        <f>15+56+3+23+13+13+20+13+8+13</f>
        <v>177</v>
      </c>
      <c r="X52" s="159">
        <f t="shared" si="19"/>
        <v>42.44604316546763</v>
      </c>
    </row>
    <row r="53" spans="1:24" ht="9.75" customHeight="1">
      <c r="A53" s="322" t="s">
        <v>75</v>
      </c>
      <c r="B53" s="74" t="s">
        <v>81</v>
      </c>
      <c r="C53" s="75"/>
      <c r="D53" s="76">
        <f>D5+D29</f>
        <v>111596</v>
      </c>
      <c r="E53" s="76">
        <f>E5+E29</f>
        <v>25793</v>
      </c>
      <c r="F53" s="157">
        <f>E53/D53*100</f>
        <v>23.112835585504858</v>
      </c>
      <c r="G53" s="76">
        <f>G5+G29</f>
        <v>4298</v>
      </c>
      <c r="H53" s="92">
        <f>G53/E53*100</f>
        <v>16.663435815919048</v>
      </c>
      <c r="I53" s="54">
        <f>SUM(M53:R53)</f>
        <v>39</v>
      </c>
      <c r="J53" s="92">
        <f>I53/G53*100</f>
        <v>0.9073987901349464</v>
      </c>
      <c r="K53" s="54">
        <f>SUM(M53:P53)</f>
        <v>30</v>
      </c>
      <c r="L53" s="92">
        <f>K53/I53*100</f>
        <v>76.92307692307693</v>
      </c>
      <c r="M53" s="76">
        <f aca="true" t="shared" si="38" ref="M53:R54">M5+M29</f>
        <v>20</v>
      </c>
      <c r="N53" s="76">
        <f t="shared" si="38"/>
        <v>0</v>
      </c>
      <c r="O53" s="76">
        <f t="shared" si="38"/>
        <v>0</v>
      </c>
      <c r="P53" s="76">
        <f t="shared" si="38"/>
        <v>10</v>
      </c>
      <c r="Q53" s="76">
        <f t="shared" si="38"/>
        <v>2</v>
      </c>
      <c r="R53" s="76">
        <f t="shared" si="38"/>
        <v>7</v>
      </c>
      <c r="S53" s="147">
        <f>N53/G53*100</f>
        <v>0</v>
      </c>
      <c r="T53" s="280">
        <f aca="true" t="shared" si="39" ref="T53:T61">T5+T29</f>
        <v>0</v>
      </c>
      <c r="U53" s="171">
        <f>T53/G53</f>
        <v>0</v>
      </c>
      <c r="V53" s="92">
        <f>N53/K53*100</f>
        <v>0</v>
      </c>
      <c r="W53" s="76">
        <f aca="true" t="shared" si="40" ref="W53:W61">W5+W29</f>
        <v>1955</v>
      </c>
      <c r="X53" s="153">
        <f aca="true" t="shared" si="41" ref="X53:X64">W53/G53*100</f>
        <v>45.486272684969755</v>
      </c>
    </row>
    <row r="54" spans="1:24" ht="9.75" customHeight="1">
      <c r="A54" s="323"/>
      <c r="B54" s="77" t="s">
        <v>1</v>
      </c>
      <c r="C54" s="78"/>
      <c r="D54" s="79">
        <f>D6+D30</f>
        <v>110943</v>
      </c>
      <c r="E54" s="79">
        <f>E6+E30</f>
        <v>24564</v>
      </c>
      <c r="F54" s="158">
        <f>E54/D54*100</f>
        <v>22.141099483518563</v>
      </c>
      <c r="G54" s="79">
        <f aca="true" t="shared" si="42" ref="G54:G61">G6+G30</f>
        <v>5563</v>
      </c>
      <c r="H54" s="29">
        <f aca="true" t="shared" si="43" ref="H54:H62">G54/E54*100</f>
        <v>22.646963035336263</v>
      </c>
      <c r="I54" s="28">
        <f aca="true" t="shared" si="44" ref="I54:I62">SUM(M54:R54)</f>
        <v>60</v>
      </c>
      <c r="J54" s="29">
        <f aca="true" t="shared" si="45" ref="J54:J62">I54/G54*100</f>
        <v>1.0785547366528851</v>
      </c>
      <c r="K54" s="28">
        <f aca="true" t="shared" si="46" ref="K54:K62">SUM(M54:P54)</f>
        <v>45</v>
      </c>
      <c r="L54" s="29">
        <f aca="true" t="shared" si="47" ref="L54:L62">K54/I54*100</f>
        <v>75</v>
      </c>
      <c r="M54" s="79">
        <f t="shared" si="38"/>
        <v>26</v>
      </c>
      <c r="N54" s="79">
        <f t="shared" si="38"/>
        <v>0</v>
      </c>
      <c r="O54" s="79">
        <f t="shared" si="38"/>
        <v>0</v>
      </c>
      <c r="P54" s="79">
        <f t="shared" si="38"/>
        <v>19</v>
      </c>
      <c r="Q54" s="79">
        <f t="shared" si="38"/>
        <v>5</v>
      </c>
      <c r="R54" s="79">
        <f t="shared" si="38"/>
        <v>10</v>
      </c>
      <c r="S54" s="148">
        <f aca="true" t="shared" si="48" ref="S54:S64">N54/G54*100</f>
        <v>0</v>
      </c>
      <c r="T54" s="281">
        <f t="shared" si="39"/>
        <v>0</v>
      </c>
      <c r="U54" s="172">
        <f aca="true" t="shared" si="49" ref="U54:U64">T54/G54</f>
        <v>0</v>
      </c>
      <c r="V54" s="29">
        <f aca="true" t="shared" si="50" ref="V54:V64">N54/K54*100</f>
        <v>0</v>
      </c>
      <c r="W54" s="79">
        <f t="shared" si="40"/>
        <v>1640</v>
      </c>
      <c r="X54" s="154">
        <f t="shared" si="41"/>
        <v>29.480496135178864</v>
      </c>
    </row>
    <row r="55" spans="1:24" ht="9.75" customHeight="1">
      <c r="A55" s="323"/>
      <c r="B55" s="77" t="s">
        <v>2</v>
      </c>
      <c r="C55" s="78"/>
      <c r="D55" s="79">
        <f aca="true" t="shared" si="51" ref="D55:E62">D7+D31</f>
        <v>118927</v>
      </c>
      <c r="E55" s="79">
        <f t="shared" si="51"/>
        <v>30242</v>
      </c>
      <c r="F55" s="158">
        <f aca="true" t="shared" si="52" ref="F55:F61">E55/D55*100</f>
        <v>25.429044708098246</v>
      </c>
      <c r="G55" s="79">
        <f t="shared" si="42"/>
        <v>7488</v>
      </c>
      <c r="H55" s="29">
        <f t="shared" si="43"/>
        <v>24.760267178096687</v>
      </c>
      <c r="I55" s="28">
        <f t="shared" si="44"/>
        <v>123</v>
      </c>
      <c r="J55" s="29">
        <f t="shared" si="45"/>
        <v>1.6426282051282053</v>
      </c>
      <c r="K55" s="28">
        <f t="shared" si="46"/>
        <v>99</v>
      </c>
      <c r="L55" s="29">
        <f t="shared" si="47"/>
        <v>80.48780487804879</v>
      </c>
      <c r="M55" s="79">
        <f aca="true" t="shared" si="53" ref="M55:R55">M7+M31</f>
        <v>44</v>
      </c>
      <c r="N55" s="79">
        <f t="shared" si="53"/>
        <v>0</v>
      </c>
      <c r="O55" s="79">
        <f t="shared" si="53"/>
        <v>2</v>
      </c>
      <c r="P55" s="79">
        <f t="shared" si="53"/>
        <v>53</v>
      </c>
      <c r="Q55" s="79">
        <f t="shared" si="53"/>
        <v>11</v>
      </c>
      <c r="R55" s="79">
        <f t="shared" si="53"/>
        <v>13</v>
      </c>
      <c r="S55" s="148">
        <f t="shared" si="48"/>
        <v>0</v>
      </c>
      <c r="T55" s="281">
        <f t="shared" si="39"/>
        <v>0</v>
      </c>
      <c r="U55" s="172">
        <f t="shared" si="49"/>
        <v>0</v>
      </c>
      <c r="V55" s="29">
        <f t="shared" si="50"/>
        <v>0</v>
      </c>
      <c r="W55" s="79">
        <f t="shared" si="40"/>
        <v>2097</v>
      </c>
      <c r="X55" s="154">
        <f t="shared" si="41"/>
        <v>28.004807692307693</v>
      </c>
    </row>
    <row r="56" spans="1:24" ht="9.75" customHeight="1">
      <c r="A56" s="323"/>
      <c r="B56" s="77" t="s">
        <v>3</v>
      </c>
      <c r="C56" s="78"/>
      <c r="D56" s="79">
        <f t="shared" si="51"/>
        <v>152032</v>
      </c>
      <c r="E56" s="79">
        <f t="shared" si="51"/>
        <v>48179</v>
      </c>
      <c r="F56" s="158">
        <f t="shared" si="52"/>
        <v>31.6900389391707</v>
      </c>
      <c r="G56" s="79">
        <f t="shared" si="42"/>
        <v>13613</v>
      </c>
      <c r="H56" s="29">
        <f t="shared" si="43"/>
        <v>28.25504888021752</v>
      </c>
      <c r="I56" s="28">
        <f t="shared" si="44"/>
        <v>234</v>
      </c>
      <c r="J56" s="29">
        <f t="shared" si="45"/>
        <v>1.7189451259825166</v>
      </c>
      <c r="K56" s="28">
        <f t="shared" si="46"/>
        <v>172</v>
      </c>
      <c r="L56" s="29">
        <f t="shared" si="47"/>
        <v>73.50427350427351</v>
      </c>
      <c r="M56" s="79">
        <f aca="true" t="shared" si="54" ref="M56:R56">M8+M32</f>
        <v>76</v>
      </c>
      <c r="N56" s="79">
        <f t="shared" si="54"/>
        <v>1</v>
      </c>
      <c r="O56" s="79">
        <f t="shared" si="54"/>
        <v>6</v>
      </c>
      <c r="P56" s="79">
        <f t="shared" si="54"/>
        <v>89</v>
      </c>
      <c r="Q56" s="79">
        <f t="shared" si="54"/>
        <v>23</v>
      </c>
      <c r="R56" s="79">
        <f t="shared" si="54"/>
        <v>39</v>
      </c>
      <c r="S56" s="148">
        <f t="shared" si="48"/>
        <v>0.0073459193418056274</v>
      </c>
      <c r="T56" s="281">
        <f t="shared" si="39"/>
        <v>0</v>
      </c>
      <c r="U56" s="172">
        <f t="shared" si="49"/>
        <v>0</v>
      </c>
      <c r="V56" s="29">
        <f t="shared" si="50"/>
        <v>0.5813953488372093</v>
      </c>
      <c r="W56" s="79">
        <f t="shared" si="40"/>
        <v>3386</v>
      </c>
      <c r="X56" s="154">
        <f t="shared" si="41"/>
        <v>24.873282891353853</v>
      </c>
    </row>
    <row r="57" spans="1:24" ht="9.75" customHeight="1">
      <c r="A57" s="323"/>
      <c r="B57" s="77" t="s">
        <v>4</v>
      </c>
      <c r="C57" s="78"/>
      <c r="D57" s="79">
        <f t="shared" si="51"/>
        <v>137216</v>
      </c>
      <c r="E57" s="79">
        <f t="shared" si="51"/>
        <v>69860</v>
      </c>
      <c r="F57" s="158">
        <f t="shared" si="52"/>
        <v>50.91243003731343</v>
      </c>
      <c r="G57" s="79">
        <f t="shared" si="42"/>
        <v>23767</v>
      </c>
      <c r="H57" s="29">
        <f t="shared" si="43"/>
        <v>34.02089894073862</v>
      </c>
      <c r="I57" s="28">
        <f t="shared" si="44"/>
        <v>513</v>
      </c>
      <c r="J57" s="29">
        <f t="shared" si="45"/>
        <v>2.158455000631127</v>
      </c>
      <c r="K57" s="28">
        <f t="shared" si="46"/>
        <v>409</v>
      </c>
      <c r="L57" s="29">
        <f t="shared" si="47"/>
        <v>79.72709551656921</v>
      </c>
      <c r="M57" s="79">
        <f aca="true" t="shared" si="55" ref="M57:R57">M9+M33</f>
        <v>190</v>
      </c>
      <c r="N57" s="79">
        <f t="shared" si="55"/>
        <v>5</v>
      </c>
      <c r="O57" s="79">
        <f t="shared" si="55"/>
        <v>9</v>
      </c>
      <c r="P57" s="79">
        <f t="shared" si="55"/>
        <v>205</v>
      </c>
      <c r="Q57" s="79">
        <f t="shared" si="55"/>
        <v>45</v>
      </c>
      <c r="R57" s="79">
        <f t="shared" si="55"/>
        <v>59</v>
      </c>
      <c r="S57" s="148">
        <f t="shared" si="48"/>
        <v>0.021037573105566542</v>
      </c>
      <c r="T57" s="281">
        <f t="shared" si="39"/>
        <v>2</v>
      </c>
      <c r="U57" s="172">
        <f t="shared" si="49"/>
        <v>8.415029242226617E-05</v>
      </c>
      <c r="V57" s="29">
        <f t="shared" si="50"/>
        <v>1.2224938875305624</v>
      </c>
      <c r="W57" s="79">
        <f t="shared" si="40"/>
        <v>6333</v>
      </c>
      <c r="X57" s="154">
        <f t="shared" si="41"/>
        <v>26.64619009551058</v>
      </c>
    </row>
    <row r="58" spans="1:24" ht="9.75" customHeight="1">
      <c r="A58" s="323"/>
      <c r="B58" s="77" t="s">
        <v>5</v>
      </c>
      <c r="C58" s="78"/>
      <c r="D58" s="79">
        <f t="shared" si="51"/>
        <v>117489</v>
      </c>
      <c r="E58" s="79">
        <f t="shared" si="51"/>
        <v>78460</v>
      </c>
      <c r="F58" s="158">
        <f t="shared" si="52"/>
        <v>66.78071989718187</v>
      </c>
      <c r="G58" s="79">
        <f t="shared" si="42"/>
        <v>32645</v>
      </c>
      <c r="H58" s="29">
        <f t="shared" si="43"/>
        <v>41.60718837624267</v>
      </c>
      <c r="I58" s="28">
        <f t="shared" si="44"/>
        <v>856</v>
      </c>
      <c r="J58" s="29">
        <f t="shared" si="45"/>
        <v>2.6221473426252104</v>
      </c>
      <c r="K58" s="28">
        <f t="shared" si="46"/>
        <v>701</v>
      </c>
      <c r="L58" s="29">
        <f t="shared" si="47"/>
        <v>81.89252336448598</v>
      </c>
      <c r="M58" s="79">
        <f aca="true" t="shared" si="56" ref="M58:R58">M10+M34</f>
        <v>262</v>
      </c>
      <c r="N58" s="79">
        <f t="shared" si="56"/>
        <v>8</v>
      </c>
      <c r="O58" s="79">
        <f t="shared" si="56"/>
        <v>16</v>
      </c>
      <c r="P58" s="79">
        <f t="shared" si="56"/>
        <v>415</v>
      </c>
      <c r="Q58" s="79">
        <f t="shared" si="56"/>
        <v>53</v>
      </c>
      <c r="R58" s="79">
        <f t="shared" si="56"/>
        <v>102</v>
      </c>
      <c r="S58" s="148">
        <f t="shared" si="48"/>
        <v>0.024506049931076735</v>
      </c>
      <c r="T58" s="281">
        <f t="shared" si="39"/>
        <v>3</v>
      </c>
      <c r="U58" s="172">
        <f t="shared" si="49"/>
        <v>9.189768724153776E-05</v>
      </c>
      <c r="V58" s="29">
        <f t="shared" si="50"/>
        <v>1.1412268188302426</v>
      </c>
      <c r="W58" s="79">
        <f t="shared" si="40"/>
        <v>7213</v>
      </c>
      <c r="X58" s="154">
        <f t="shared" si="41"/>
        <v>22.09526726910706</v>
      </c>
    </row>
    <row r="59" spans="1:24" ht="9.75" customHeight="1">
      <c r="A59" s="323"/>
      <c r="B59" s="77" t="s">
        <v>6</v>
      </c>
      <c r="C59" s="78"/>
      <c r="D59" s="79">
        <f t="shared" si="51"/>
        <v>109389</v>
      </c>
      <c r="E59" s="79">
        <f t="shared" si="51"/>
        <v>92866</v>
      </c>
      <c r="F59" s="158">
        <f t="shared" si="52"/>
        <v>84.89519055846566</v>
      </c>
      <c r="G59" s="79">
        <f t="shared" si="42"/>
        <v>35481</v>
      </c>
      <c r="H59" s="29">
        <f t="shared" si="43"/>
        <v>38.20666336441755</v>
      </c>
      <c r="I59" s="28">
        <f t="shared" si="44"/>
        <v>1247</v>
      </c>
      <c r="J59" s="29">
        <f t="shared" si="45"/>
        <v>3.514557086891576</v>
      </c>
      <c r="K59" s="28">
        <f t="shared" si="46"/>
        <v>1012</v>
      </c>
      <c r="L59" s="29">
        <f t="shared" si="47"/>
        <v>81.15477145148357</v>
      </c>
      <c r="M59" s="79">
        <f aca="true" t="shared" si="57" ref="M59:R59">M11+M35</f>
        <v>374</v>
      </c>
      <c r="N59" s="79">
        <f t="shared" si="57"/>
        <v>28</v>
      </c>
      <c r="O59" s="79">
        <f t="shared" si="57"/>
        <v>25</v>
      </c>
      <c r="P59" s="79">
        <f t="shared" si="57"/>
        <v>585</v>
      </c>
      <c r="Q59" s="79">
        <f t="shared" si="57"/>
        <v>96</v>
      </c>
      <c r="R59" s="79">
        <f t="shared" si="57"/>
        <v>139</v>
      </c>
      <c r="S59" s="148">
        <f t="shared" si="48"/>
        <v>0.07891547588850371</v>
      </c>
      <c r="T59" s="281">
        <f t="shared" si="39"/>
        <v>2</v>
      </c>
      <c r="U59" s="172">
        <f t="shared" si="49"/>
        <v>5.6368197063216934E-05</v>
      </c>
      <c r="V59" s="29">
        <f t="shared" si="50"/>
        <v>2.766798418972332</v>
      </c>
      <c r="W59" s="79">
        <f t="shared" si="40"/>
        <v>6418</v>
      </c>
      <c r="X59" s="154">
        <f t="shared" si="41"/>
        <v>18.088554437586314</v>
      </c>
    </row>
    <row r="60" spans="1:24" ht="9.75" customHeight="1">
      <c r="A60" s="323"/>
      <c r="B60" s="77" t="s">
        <v>7</v>
      </c>
      <c r="C60" s="78"/>
      <c r="D60" s="79">
        <f t="shared" si="51"/>
        <v>97831</v>
      </c>
      <c r="E60" s="79">
        <f t="shared" si="51"/>
        <v>77167</v>
      </c>
      <c r="F60" s="158">
        <f t="shared" si="52"/>
        <v>78.87786080076867</v>
      </c>
      <c r="G60" s="79">
        <f t="shared" si="42"/>
        <v>31047</v>
      </c>
      <c r="H60" s="29">
        <f t="shared" si="43"/>
        <v>40.233519509634945</v>
      </c>
      <c r="I60" s="28">
        <f t="shared" si="44"/>
        <v>1260</v>
      </c>
      <c r="J60" s="29">
        <f t="shared" si="45"/>
        <v>4.058363126872162</v>
      </c>
      <c r="K60" s="28">
        <f t="shared" si="46"/>
        <v>995</v>
      </c>
      <c r="L60" s="29">
        <f t="shared" si="47"/>
        <v>78.96825396825396</v>
      </c>
      <c r="M60" s="79">
        <f aca="true" t="shared" si="58" ref="M60:R60">M12+M36</f>
        <v>334</v>
      </c>
      <c r="N60" s="79">
        <f t="shared" si="58"/>
        <v>26</v>
      </c>
      <c r="O60" s="79">
        <f t="shared" si="58"/>
        <v>30</v>
      </c>
      <c r="P60" s="79">
        <f t="shared" si="58"/>
        <v>605</v>
      </c>
      <c r="Q60" s="79">
        <f t="shared" si="58"/>
        <v>93</v>
      </c>
      <c r="R60" s="79">
        <f t="shared" si="58"/>
        <v>172</v>
      </c>
      <c r="S60" s="148">
        <f t="shared" si="48"/>
        <v>0.0837440010306954</v>
      </c>
      <c r="T60" s="281">
        <f t="shared" si="39"/>
        <v>3</v>
      </c>
      <c r="U60" s="172">
        <f t="shared" si="49"/>
        <v>9.662769349695623E-05</v>
      </c>
      <c r="V60" s="29">
        <f t="shared" si="50"/>
        <v>2.613065326633166</v>
      </c>
      <c r="W60" s="79">
        <f t="shared" si="40"/>
        <v>4141</v>
      </c>
      <c r="X60" s="154">
        <f t="shared" si="41"/>
        <v>13.337842625696524</v>
      </c>
    </row>
    <row r="61" spans="1:24" ht="9.75" customHeight="1">
      <c r="A61" s="323"/>
      <c r="B61" s="81" t="s">
        <v>8</v>
      </c>
      <c r="C61" s="82"/>
      <c r="D61" s="83">
        <f t="shared" si="51"/>
        <v>132611</v>
      </c>
      <c r="E61" s="83">
        <f t="shared" si="51"/>
        <v>99104</v>
      </c>
      <c r="F61" s="158">
        <f t="shared" si="52"/>
        <v>74.73286529775056</v>
      </c>
      <c r="G61" s="83">
        <f t="shared" si="42"/>
        <v>26603</v>
      </c>
      <c r="H61" s="106">
        <f t="shared" si="43"/>
        <v>26.843517920568296</v>
      </c>
      <c r="I61" s="139">
        <f t="shared" si="44"/>
        <v>1437</v>
      </c>
      <c r="J61" s="106">
        <f t="shared" si="45"/>
        <v>5.401646430853663</v>
      </c>
      <c r="K61" s="139">
        <f t="shared" si="46"/>
        <v>1097</v>
      </c>
      <c r="L61" s="106">
        <f t="shared" si="47"/>
        <v>76.33959638135003</v>
      </c>
      <c r="M61" s="83">
        <f aca="true" t="shared" si="59" ref="M61:R61">M13+M37</f>
        <v>317</v>
      </c>
      <c r="N61" s="83">
        <f t="shared" si="59"/>
        <v>29</v>
      </c>
      <c r="O61" s="83">
        <f t="shared" si="59"/>
        <v>42</v>
      </c>
      <c r="P61" s="83">
        <f t="shared" si="59"/>
        <v>709</v>
      </c>
      <c r="Q61" s="83">
        <f t="shared" si="59"/>
        <v>138</v>
      </c>
      <c r="R61" s="83">
        <f t="shared" si="59"/>
        <v>202</v>
      </c>
      <c r="S61" s="150">
        <f t="shared" si="48"/>
        <v>0.10901026200052626</v>
      </c>
      <c r="T61" s="282">
        <f t="shared" si="39"/>
        <v>6</v>
      </c>
      <c r="U61" s="175">
        <f t="shared" si="49"/>
        <v>0.00022553847310453708</v>
      </c>
      <c r="V61" s="106">
        <f t="shared" si="50"/>
        <v>2.643573381950775</v>
      </c>
      <c r="W61" s="83">
        <f t="shared" si="40"/>
        <v>4076</v>
      </c>
      <c r="X61" s="155">
        <f t="shared" si="41"/>
        <v>15.321580272901553</v>
      </c>
    </row>
    <row r="62" spans="1:24" ht="9.75" customHeight="1">
      <c r="A62" s="323"/>
      <c r="B62" s="60" t="s">
        <v>9</v>
      </c>
      <c r="C62" s="59"/>
      <c r="D62" s="196">
        <f t="shared" si="51"/>
        <v>1088034</v>
      </c>
      <c r="E62" s="197">
        <f>SUM(E53:E61)</f>
        <v>546235</v>
      </c>
      <c r="F62" s="110">
        <f>E62/D62*100</f>
        <v>50.20385392368253</v>
      </c>
      <c r="G62" s="109">
        <f>SUM(G53:G61)</f>
        <v>180505</v>
      </c>
      <c r="H62" s="36">
        <f t="shared" si="43"/>
        <v>33.04530101513085</v>
      </c>
      <c r="I62" s="39">
        <f t="shared" si="44"/>
        <v>5769</v>
      </c>
      <c r="J62" s="36">
        <f t="shared" si="45"/>
        <v>3.196033350876707</v>
      </c>
      <c r="K62" s="39">
        <f t="shared" si="46"/>
        <v>4560</v>
      </c>
      <c r="L62" s="36">
        <f t="shared" si="47"/>
        <v>79.04316172646905</v>
      </c>
      <c r="M62" s="33">
        <f>SUM(M53:M61)</f>
        <v>1643</v>
      </c>
      <c r="N62" s="33">
        <f aca="true" t="shared" si="60" ref="N62:T62">SUM(N53:N61)</f>
        <v>97</v>
      </c>
      <c r="O62" s="33">
        <f t="shared" si="60"/>
        <v>130</v>
      </c>
      <c r="P62" s="33">
        <f t="shared" si="60"/>
        <v>2690</v>
      </c>
      <c r="Q62" s="33">
        <f t="shared" si="60"/>
        <v>466</v>
      </c>
      <c r="R62" s="37">
        <f t="shared" si="60"/>
        <v>743</v>
      </c>
      <c r="S62" s="152">
        <f t="shared" si="48"/>
        <v>0.053738123597684276</v>
      </c>
      <c r="T62" s="277">
        <f t="shared" si="60"/>
        <v>16</v>
      </c>
      <c r="U62" s="176">
        <f t="shared" si="49"/>
        <v>8.86402038724689E-05</v>
      </c>
      <c r="V62" s="36">
        <f t="shared" si="50"/>
        <v>2.1271929824561404</v>
      </c>
      <c r="W62" s="33">
        <f>SUM(W53:W61)</f>
        <v>37259</v>
      </c>
      <c r="X62" s="156">
        <f t="shared" si="41"/>
        <v>20.641533475526995</v>
      </c>
    </row>
    <row r="63" spans="1:24" ht="9.75" customHeight="1">
      <c r="A63" s="323"/>
      <c r="B63" s="13" t="s">
        <v>10</v>
      </c>
      <c r="C63" s="88" t="s">
        <v>11</v>
      </c>
      <c r="D63" s="94" t="s">
        <v>82</v>
      </c>
      <c r="E63" s="94" t="s">
        <v>79</v>
      </c>
      <c r="F63" s="94" t="s">
        <v>79</v>
      </c>
      <c r="G63" s="49">
        <f>G15+G39</f>
        <v>53694</v>
      </c>
      <c r="H63" s="94" t="s">
        <v>79</v>
      </c>
      <c r="I63" s="53">
        <f>SUM(M63:R63)</f>
        <v>2275</v>
      </c>
      <c r="J63" s="56">
        <f>I63/G63*100</f>
        <v>4.236972473646962</v>
      </c>
      <c r="K63" s="53">
        <f>SUM(M63:P63)</f>
        <v>1706</v>
      </c>
      <c r="L63" s="56">
        <f>K63/I63*100</f>
        <v>74.98901098901098</v>
      </c>
      <c r="M63" s="53">
        <f aca="true" t="shared" si="61" ref="M63:R64">M15+M39</f>
        <v>547</v>
      </c>
      <c r="N63" s="53">
        <f t="shared" si="61"/>
        <v>25</v>
      </c>
      <c r="O63" s="53">
        <f t="shared" si="61"/>
        <v>69</v>
      </c>
      <c r="P63" s="53">
        <f t="shared" si="61"/>
        <v>1065</v>
      </c>
      <c r="Q63" s="53">
        <f t="shared" si="61"/>
        <v>329</v>
      </c>
      <c r="R63" s="89">
        <f t="shared" si="61"/>
        <v>240</v>
      </c>
      <c r="S63" s="198">
        <f t="shared" si="48"/>
        <v>0.046560137073043545</v>
      </c>
      <c r="T63" s="283">
        <f>T15+T39</f>
        <v>2</v>
      </c>
      <c r="U63" s="174">
        <f t="shared" si="49"/>
        <v>3.724810965843483E-05</v>
      </c>
      <c r="V63" s="56">
        <f t="shared" si="50"/>
        <v>1.4654161781946073</v>
      </c>
      <c r="W63" s="53">
        <f>W15+W39</f>
        <v>14309</v>
      </c>
      <c r="X63" s="160">
        <f t="shared" si="41"/>
        <v>26.6491600551272</v>
      </c>
    </row>
    <row r="64" spans="1:24" ht="9.75" customHeight="1" thickBot="1">
      <c r="A64" s="324"/>
      <c r="B64" s="45" t="s">
        <v>12</v>
      </c>
      <c r="C64" s="45" t="s">
        <v>13</v>
      </c>
      <c r="D64" s="95" t="s">
        <v>82</v>
      </c>
      <c r="E64" s="95" t="s">
        <v>79</v>
      </c>
      <c r="F64" s="96" t="s">
        <v>79</v>
      </c>
      <c r="G64" s="85">
        <f>G16+G40</f>
        <v>126811</v>
      </c>
      <c r="H64" s="95" t="s">
        <v>79</v>
      </c>
      <c r="I64" s="86">
        <f>SUM(M64:R64)</f>
        <v>3494</v>
      </c>
      <c r="J64" s="93">
        <f>I64/G64*100</f>
        <v>2.7552814818903726</v>
      </c>
      <c r="K64" s="86">
        <f>SUM(M64:P64)</f>
        <v>2854</v>
      </c>
      <c r="L64" s="93">
        <f>K64/I64*100</f>
        <v>81.68288494562105</v>
      </c>
      <c r="M64" s="86">
        <f t="shared" si="61"/>
        <v>1096</v>
      </c>
      <c r="N64" s="86">
        <f t="shared" si="61"/>
        <v>72</v>
      </c>
      <c r="O64" s="86">
        <f t="shared" si="61"/>
        <v>61</v>
      </c>
      <c r="P64" s="86">
        <f t="shared" si="61"/>
        <v>1625</v>
      </c>
      <c r="Q64" s="86">
        <f t="shared" si="61"/>
        <v>137</v>
      </c>
      <c r="R64" s="87">
        <f t="shared" si="61"/>
        <v>503</v>
      </c>
      <c r="S64" s="199">
        <f t="shared" si="48"/>
        <v>0.05677740889985885</v>
      </c>
      <c r="T64" s="279">
        <f>T16+T40</f>
        <v>14</v>
      </c>
      <c r="U64" s="173">
        <f t="shared" si="49"/>
        <v>0.00011040051730528109</v>
      </c>
      <c r="V64" s="93">
        <f t="shared" si="50"/>
        <v>2.522775052557814</v>
      </c>
      <c r="W64" s="86">
        <f>W16+W40</f>
        <v>22950</v>
      </c>
      <c r="X64" s="180">
        <f t="shared" si="41"/>
        <v>18.09779908683001</v>
      </c>
    </row>
    <row r="67" ht="9.75" customHeight="1">
      <c r="D67" s="57" t="s">
        <v>110</v>
      </c>
    </row>
  </sheetData>
  <mergeCells count="11">
    <mergeCell ref="W2:X2"/>
    <mergeCell ref="M2:P2"/>
    <mergeCell ref="K2:L2"/>
    <mergeCell ref="A53:A64"/>
    <mergeCell ref="S2:U2"/>
    <mergeCell ref="A17:A28"/>
    <mergeCell ref="A5:A16"/>
    <mergeCell ref="A2:C4"/>
    <mergeCell ref="G2:J2"/>
    <mergeCell ref="A41:A52"/>
    <mergeCell ref="A29:A40"/>
  </mergeCells>
  <printOptions/>
  <pageMargins left="0.7874015748031497" right="0.3937007874015748" top="0.7874015748031497" bottom="0.7874015748031497" header="0" footer="0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okayamaken</dc:creator>
  <cp:keywords/>
  <dc:description/>
  <cp:lastModifiedBy>okayamaken</cp:lastModifiedBy>
  <cp:lastPrinted>2009-11-26T08:03:27Z</cp:lastPrinted>
  <dcterms:created xsi:type="dcterms:W3CDTF">2008-09-01T00:50:48Z</dcterms:created>
  <dcterms:modified xsi:type="dcterms:W3CDTF">2009-11-26T08:04:06Z</dcterms:modified>
  <cp:category/>
  <cp:version/>
  <cp:contentType/>
  <cp:contentStatus/>
</cp:coreProperties>
</file>